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0" windowWidth="19200" windowHeight="10080" tabRatio="728"/>
  </bookViews>
  <sheets>
    <sheet name="Моя кредитна картка" sheetId="4" r:id="rId1"/>
  </sheets>
  <definedNames>
    <definedName name="_xlnm._FilterDatabase" localSheetId="0" hidden="1">'Моя кредитна картка'!$A$37:$A$122</definedName>
    <definedName name="_xlnm.Print_Titles" localSheetId="0">'Моя кредитна картка'!$36:$36</definedName>
    <definedName name="курс">#REF!</definedName>
    <definedName name="_xlnm.Print_Area" localSheetId="0">'Моя кредитна картка'!$D$27:$W$122</definedName>
  </definedNames>
  <calcPr calcId="124519"/>
</workbook>
</file>

<file path=xl/calcChain.xml><?xml version="1.0" encoding="utf-8"?>
<calcChain xmlns="http://schemas.openxmlformats.org/spreadsheetml/2006/main">
  <c r="K7" i="4"/>
  <c r="V27" s="1"/>
  <c r="F39" l="1"/>
  <c r="B40"/>
  <c r="B41" s="1"/>
  <c r="D39"/>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D110" s="1"/>
  <c r="L12"/>
  <c r="O12" s="1"/>
  <c r="K11"/>
  <c r="AE7" s="1"/>
  <c r="U111"/>
  <c r="Q111"/>
  <c r="P111"/>
  <c r="M111"/>
  <c r="I38"/>
  <c r="E38"/>
  <c r="H38" s="1"/>
  <c r="T37"/>
  <c r="S37"/>
  <c r="S111" s="1"/>
  <c r="R37"/>
  <c r="R111" s="1"/>
  <c r="O37"/>
  <c r="N37"/>
  <c r="N111" s="1"/>
  <c r="J37"/>
  <c r="E37"/>
  <c r="O18"/>
  <c r="AF7"/>
  <c r="AD7"/>
  <c r="AC7" l="1"/>
  <c r="AC11" s="1"/>
  <c r="A40"/>
  <c r="G39"/>
  <c r="F40" s="1"/>
  <c r="E40" s="1"/>
  <c r="A39"/>
  <c r="L39" s="1"/>
  <c r="E39"/>
  <c r="A37"/>
  <c r="I37"/>
  <c r="AE11"/>
  <c r="AE15" s="1"/>
  <c r="A41"/>
  <c r="B42"/>
  <c r="L40" l="1"/>
  <c r="J40"/>
  <c r="G40"/>
  <c r="F41" s="1"/>
  <c r="E41" s="1"/>
  <c r="J41" s="1"/>
  <c r="AE13"/>
  <c r="AD17" s="1"/>
  <c r="H39"/>
  <c r="J39"/>
  <c r="AE14"/>
  <c r="A42"/>
  <c r="B43"/>
  <c r="L41"/>
  <c r="G41" l="1"/>
  <c r="F42" s="1"/>
  <c r="E42" s="1"/>
  <c r="K39"/>
  <c r="I39" s="1"/>
  <c r="H40"/>
  <c r="K40" s="1"/>
  <c r="A43"/>
  <c r="B44"/>
  <c r="L42"/>
  <c r="G42" l="1"/>
  <c r="F43" s="1"/>
  <c r="G43" s="1"/>
  <c r="F44" s="1"/>
  <c r="H41"/>
  <c r="K41" s="1"/>
  <c r="I41" s="1"/>
  <c r="H42"/>
  <c r="J42"/>
  <c r="K42"/>
  <c r="L43"/>
  <c r="A44"/>
  <c r="B45"/>
  <c r="I40"/>
  <c r="E43" l="1"/>
  <c r="J43" s="1"/>
  <c r="I42"/>
  <c r="A45"/>
  <c r="B46"/>
  <c r="L44"/>
  <c r="G44"/>
  <c r="F45" s="1"/>
  <c r="E44"/>
  <c r="J44" s="1"/>
  <c r="H43" l="1"/>
  <c r="K43" s="1"/>
  <c r="I43" s="1"/>
  <c r="E45"/>
  <c r="G45"/>
  <c r="F46" s="1"/>
  <c r="A46"/>
  <c r="B47"/>
  <c r="H44"/>
  <c r="L45"/>
  <c r="H45" l="1"/>
  <c r="K45" s="1"/>
  <c r="J45"/>
  <c r="K44"/>
  <c r="A47"/>
  <c r="B48"/>
  <c r="L46"/>
  <c r="G46"/>
  <c r="F47" s="1"/>
  <c r="E46"/>
  <c r="J46" s="1"/>
  <c r="I45" l="1"/>
  <c r="A48"/>
  <c r="B49"/>
  <c r="I44"/>
  <c r="L47"/>
  <c r="H46"/>
  <c r="K46" s="1"/>
  <c r="I46" s="1"/>
  <c r="G47"/>
  <c r="F48" s="1"/>
  <c r="E47"/>
  <c r="J47" s="1"/>
  <c r="G48" l="1"/>
  <c r="F49" s="1"/>
  <c r="E48"/>
  <c r="J48" s="1"/>
  <c r="L48"/>
  <c r="A49"/>
  <c r="B50"/>
  <c r="H47"/>
  <c r="K47" s="1"/>
  <c r="H48" l="1"/>
  <c r="K48" s="1"/>
  <c r="I48" s="1"/>
  <c r="G49"/>
  <c r="F50" s="1"/>
  <c r="E49"/>
  <c r="J49" s="1"/>
  <c r="L49"/>
  <c r="A50"/>
  <c r="B51"/>
  <c r="I47"/>
  <c r="G50" l="1"/>
  <c r="F51" s="1"/>
  <c r="E50"/>
  <c r="J50" s="1"/>
  <c r="L50"/>
  <c r="A51"/>
  <c r="B52"/>
  <c r="H49"/>
  <c r="K49" s="1"/>
  <c r="I49" s="1"/>
  <c r="H50" l="1"/>
  <c r="K50" s="1"/>
  <c r="E51"/>
  <c r="J51" s="1"/>
  <c r="J52" s="1"/>
  <c r="G51"/>
  <c r="A52"/>
  <c r="L52" s="1"/>
  <c r="B53"/>
  <c r="L51"/>
  <c r="I50"/>
  <c r="H51" l="1"/>
  <c r="K51" s="1"/>
  <c r="A53"/>
  <c r="L53" s="1"/>
  <c r="J53"/>
  <c r="B54"/>
  <c r="F52"/>
  <c r="E52"/>
  <c r="I51"/>
  <c r="A54" l="1"/>
  <c r="L54" s="1"/>
  <c r="B55"/>
  <c r="J54"/>
  <c r="E53"/>
  <c r="H52"/>
  <c r="G52"/>
  <c r="K52" s="1"/>
  <c r="I52" s="1"/>
  <c r="F53"/>
  <c r="F54" l="1"/>
  <c r="G53"/>
  <c r="H53"/>
  <c r="E54"/>
  <c r="B56"/>
  <c r="A55"/>
  <c r="L55" s="1"/>
  <c r="J55"/>
  <c r="K53"/>
  <c r="I53" s="1"/>
  <c r="A56" l="1"/>
  <c r="L56" s="1"/>
  <c r="B57"/>
  <c r="J56"/>
  <c r="E55"/>
  <c r="H54"/>
  <c r="F55"/>
  <c r="G54"/>
  <c r="K54" s="1"/>
  <c r="I54" s="1"/>
  <c r="F56" l="1"/>
  <c r="G55"/>
  <c r="K55" s="1"/>
  <c r="I55" s="1"/>
  <c r="E56"/>
  <c r="H55"/>
  <c r="A57"/>
  <c r="L57" s="1"/>
  <c r="B58"/>
  <c r="J57"/>
  <c r="J58" l="1"/>
  <c r="B59"/>
  <c r="A58"/>
  <c r="L58" s="1"/>
  <c r="G56"/>
  <c r="K56" s="1"/>
  <c r="I56" s="1"/>
  <c r="E57"/>
  <c r="H56"/>
  <c r="F57"/>
  <c r="A59" l="1"/>
  <c r="L59" s="1"/>
  <c r="J59"/>
  <c r="B60"/>
  <c r="F58"/>
  <c r="G57"/>
  <c r="K57" s="1"/>
  <c r="I57" s="1"/>
  <c r="E58"/>
  <c r="H57"/>
  <c r="E59" l="1"/>
  <c r="F59"/>
  <c r="H58"/>
  <c r="G58"/>
  <c r="K58" s="1"/>
  <c r="I58" s="1"/>
  <c r="B61"/>
  <c r="J60"/>
  <c r="A60"/>
  <c r="L60" s="1"/>
  <c r="A61" l="1"/>
  <c r="L61" s="1"/>
  <c r="J61"/>
  <c r="B62"/>
  <c r="F60"/>
  <c r="G59"/>
  <c r="K59" s="1"/>
  <c r="I59" s="1"/>
  <c r="H59"/>
  <c r="E60"/>
  <c r="E61" l="1"/>
  <c r="F61"/>
  <c r="G60"/>
  <c r="K60" s="1"/>
  <c r="I60" s="1"/>
  <c r="H60"/>
  <c r="O62"/>
  <c r="B63"/>
  <c r="J62"/>
  <c r="A62"/>
  <c r="L62" s="1"/>
  <c r="T62"/>
  <c r="A63" l="1"/>
  <c r="L63" s="1"/>
  <c r="J63"/>
  <c r="B64"/>
  <c r="F62"/>
  <c r="G61"/>
  <c r="K61" s="1"/>
  <c r="I61" s="1"/>
  <c r="H61"/>
  <c r="E62"/>
  <c r="G62" l="1"/>
  <c r="K62" s="1"/>
  <c r="I62" s="1"/>
  <c r="E63"/>
  <c r="H62"/>
  <c r="F63"/>
  <c r="A64"/>
  <c r="L64" s="1"/>
  <c r="J64"/>
  <c r="B65"/>
  <c r="B66" l="1"/>
  <c r="J65"/>
  <c r="A65"/>
  <c r="L65" s="1"/>
  <c r="G63"/>
  <c r="K63" s="1"/>
  <c r="I63" s="1"/>
  <c r="F64"/>
  <c r="H63"/>
  <c r="E64"/>
  <c r="E65" l="1"/>
  <c r="G64"/>
  <c r="K64" s="1"/>
  <c r="I64" s="1"/>
  <c r="F65"/>
  <c r="H64"/>
  <c r="B67"/>
  <c r="J66"/>
  <c r="A66"/>
  <c r="L66" s="1"/>
  <c r="F66" l="1"/>
  <c r="G65"/>
  <c r="K65" s="1"/>
  <c r="I65" s="1"/>
  <c r="H65"/>
  <c r="E66"/>
  <c r="B68"/>
  <c r="J67"/>
  <c r="A67"/>
  <c r="L67" s="1"/>
  <c r="A68" l="1"/>
  <c r="L68" s="1"/>
  <c r="B69"/>
  <c r="J68"/>
  <c r="E67"/>
  <c r="F67"/>
  <c r="G66"/>
  <c r="H66"/>
  <c r="K66"/>
  <c r="I66" s="1"/>
  <c r="F68" l="1"/>
  <c r="E68"/>
  <c r="H67"/>
  <c r="G67"/>
  <c r="K67" s="1"/>
  <c r="I67" s="1"/>
  <c r="B70"/>
  <c r="J69"/>
  <c r="A69"/>
  <c r="L69" s="1"/>
  <c r="B71" l="1"/>
  <c r="J70"/>
  <c r="A70"/>
  <c r="L70" s="1"/>
  <c r="E69"/>
  <c r="G68"/>
  <c r="K68" s="1"/>
  <c r="I68" s="1"/>
  <c r="F69"/>
  <c r="H68"/>
  <c r="F70" l="1"/>
  <c r="G69"/>
  <c r="K69" s="1"/>
  <c r="I69" s="1"/>
  <c r="H69"/>
  <c r="E70"/>
  <c r="B72"/>
  <c r="J71"/>
  <c r="A71"/>
  <c r="L71" s="1"/>
  <c r="A72" l="1"/>
  <c r="L72" s="1"/>
  <c r="J72"/>
  <c r="B73"/>
  <c r="G70"/>
  <c r="K70" s="1"/>
  <c r="I70" s="1"/>
  <c r="E71"/>
  <c r="H70"/>
  <c r="F71"/>
  <c r="G71" l="1"/>
  <c r="K71" s="1"/>
  <c r="I71" s="1"/>
  <c r="F72"/>
  <c r="H71"/>
  <c r="E72"/>
  <c r="A73"/>
  <c r="L73" s="1"/>
  <c r="J73"/>
  <c r="B74"/>
  <c r="T74" l="1"/>
  <c r="B75"/>
  <c r="J74"/>
  <c r="O74"/>
  <c r="A74"/>
  <c r="L74" s="1"/>
  <c r="E73"/>
  <c r="F73"/>
  <c r="H72"/>
  <c r="G72"/>
  <c r="K72" s="1"/>
  <c r="I72" s="1"/>
  <c r="F74" l="1"/>
  <c r="E74"/>
  <c r="G73"/>
  <c r="K73" s="1"/>
  <c r="I73" s="1"/>
  <c r="H73"/>
  <c r="B76"/>
  <c r="J75"/>
  <c r="A75"/>
  <c r="L75" s="1"/>
  <c r="B77" l="1"/>
  <c r="J76"/>
  <c r="A76"/>
  <c r="L76" s="1"/>
  <c r="E75"/>
  <c r="H74"/>
  <c r="H111" s="1"/>
  <c r="G74"/>
  <c r="K74" s="1"/>
  <c r="I74" s="1"/>
  <c r="F75"/>
  <c r="H75" l="1"/>
  <c r="G75"/>
  <c r="K75" s="1"/>
  <c r="I75" s="1"/>
  <c r="F76"/>
  <c r="E76"/>
  <c r="A77"/>
  <c r="L77" s="1"/>
  <c r="J77"/>
  <c r="B78"/>
  <c r="H76" l="1"/>
  <c r="E77"/>
  <c r="G76"/>
  <c r="K76" s="1"/>
  <c r="I76" s="1"/>
  <c r="F77"/>
  <c r="B79"/>
  <c r="J78"/>
  <c r="A78"/>
  <c r="L78" s="1"/>
  <c r="B80" l="1"/>
  <c r="J79"/>
  <c r="A79"/>
  <c r="L79" s="1"/>
  <c r="H77"/>
  <c r="G77"/>
  <c r="K77" s="1"/>
  <c r="I77" s="1"/>
  <c r="E78"/>
  <c r="F78"/>
  <c r="B81" l="1"/>
  <c r="A80"/>
  <c r="L80" s="1"/>
  <c r="J80"/>
  <c r="H78"/>
  <c r="G78"/>
  <c r="K78" s="1"/>
  <c r="I78" s="1"/>
  <c r="F79"/>
  <c r="E79"/>
  <c r="B82" l="1"/>
  <c r="J81"/>
  <c r="A81"/>
  <c r="L81" s="1"/>
  <c r="H79"/>
  <c r="F80"/>
  <c r="G79"/>
  <c r="K79" s="1"/>
  <c r="I79" s="1"/>
  <c r="E80"/>
  <c r="H80" l="1"/>
  <c r="G80"/>
  <c r="K80" s="1"/>
  <c r="I80" s="1"/>
  <c r="F81"/>
  <c r="E81"/>
  <c r="B83"/>
  <c r="A82"/>
  <c r="L82" s="1"/>
  <c r="J82"/>
  <c r="H81" l="1"/>
  <c r="F82"/>
  <c r="G81"/>
  <c r="K81" s="1"/>
  <c r="I81" s="1"/>
  <c r="E82"/>
  <c r="B84"/>
  <c r="J83"/>
  <c r="A83"/>
  <c r="L83" s="1"/>
  <c r="B85" l="1"/>
  <c r="A84"/>
  <c r="L84" s="1"/>
  <c r="J84"/>
  <c r="F83"/>
  <c r="G82"/>
  <c r="K82" s="1"/>
  <c r="I82" s="1"/>
  <c r="H82"/>
  <c r="E83"/>
  <c r="B86" l="1"/>
  <c r="J85"/>
  <c r="A85"/>
  <c r="L85" s="1"/>
  <c r="E84"/>
  <c r="F84"/>
  <c r="H83"/>
  <c r="G83"/>
  <c r="K83" s="1"/>
  <c r="I83" s="1"/>
  <c r="F85" l="1"/>
  <c r="E85"/>
  <c r="H84"/>
  <c r="G84"/>
  <c r="K84" s="1"/>
  <c r="I84" s="1"/>
  <c r="B87"/>
  <c r="O86"/>
  <c r="J86"/>
  <c r="T86"/>
  <c r="A86"/>
  <c r="L86" s="1"/>
  <c r="A87" l="1"/>
  <c r="L87" s="1"/>
  <c r="B88"/>
  <c r="J87"/>
  <c r="E86"/>
  <c r="G85"/>
  <c r="K85" s="1"/>
  <c r="I85" s="1"/>
  <c r="H85"/>
  <c r="F86"/>
  <c r="F87" l="1"/>
  <c r="G86"/>
  <c r="K86" s="1"/>
  <c r="I86" s="1"/>
  <c r="H86"/>
  <c r="E87"/>
  <c r="A88"/>
  <c r="L88" s="1"/>
  <c r="B89"/>
  <c r="J88"/>
  <c r="B90" l="1"/>
  <c r="A89"/>
  <c r="L89" s="1"/>
  <c r="J89"/>
  <c r="F88"/>
  <c r="E88"/>
  <c r="H87"/>
  <c r="G87"/>
  <c r="K87" s="1"/>
  <c r="I87" s="1"/>
  <c r="G88" l="1"/>
  <c r="K88" s="1"/>
  <c r="I88" s="1"/>
  <c r="E89"/>
  <c r="H88"/>
  <c r="F89"/>
  <c r="A90"/>
  <c r="L90" s="1"/>
  <c r="B91"/>
  <c r="J90"/>
  <c r="E90" l="1"/>
  <c r="G89"/>
  <c r="K89" s="1"/>
  <c r="I89" s="1"/>
  <c r="H89"/>
  <c r="F90"/>
  <c r="A91"/>
  <c r="L91" s="1"/>
  <c r="J91"/>
  <c r="B92"/>
  <c r="G90" l="1"/>
  <c r="K90" s="1"/>
  <c r="I90" s="1"/>
  <c r="E91"/>
  <c r="H90"/>
  <c r="F91"/>
  <c r="A92"/>
  <c r="L92" s="1"/>
  <c r="J92"/>
  <c r="B93"/>
  <c r="A93" l="1"/>
  <c r="L93" s="1"/>
  <c r="B94"/>
  <c r="J93"/>
  <c r="E92"/>
  <c r="F92"/>
  <c r="H91"/>
  <c r="G91"/>
  <c r="K91" s="1"/>
  <c r="I91" s="1"/>
  <c r="G92" l="1"/>
  <c r="K92" s="1"/>
  <c r="I92" s="1"/>
  <c r="E93"/>
  <c r="H92"/>
  <c r="F93"/>
  <c r="B95"/>
  <c r="A94"/>
  <c r="L94" s="1"/>
  <c r="J94"/>
  <c r="A95" l="1"/>
  <c r="L95" s="1"/>
  <c r="B96"/>
  <c r="J95"/>
  <c r="F94"/>
  <c r="E94"/>
  <c r="H93"/>
  <c r="G93"/>
  <c r="K93" s="1"/>
  <c r="I93" s="1"/>
  <c r="F95" l="1"/>
  <c r="G94"/>
  <c r="H94"/>
  <c r="E95"/>
  <c r="A96"/>
  <c r="L96" s="1"/>
  <c r="J96"/>
  <c r="B97"/>
  <c r="K94"/>
  <c r="I94" s="1"/>
  <c r="F96" l="1"/>
  <c r="E96"/>
  <c r="H95"/>
  <c r="G95"/>
  <c r="K95" s="1"/>
  <c r="I95" s="1"/>
  <c r="B98"/>
  <c r="J97"/>
  <c r="A97"/>
  <c r="L97" s="1"/>
  <c r="B99" l="1"/>
  <c r="O98"/>
  <c r="O111" s="1"/>
  <c r="T98"/>
  <c r="T111" s="1"/>
  <c r="J98"/>
  <c r="A98"/>
  <c r="L98" s="1"/>
  <c r="G96"/>
  <c r="K96" s="1"/>
  <c r="I96" s="1"/>
  <c r="E97"/>
  <c r="H96"/>
  <c r="F97"/>
  <c r="F98" l="1"/>
  <c r="E98"/>
  <c r="H97"/>
  <c r="G97"/>
  <c r="K97" s="1"/>
  <c r="I97" s="1"/>
  <c r="B100"/>
  <c r="A99"/>
  <c r="L99" s="1"/>
  <c r="J99"/>
  <c r="E99" l="1"/>
  <c r="G98"/>
  <c r="H98"/>
  <c r="F99"/>
  <c r="B101"/>
  <c r="J100"/>
  <c r="A100"/>
  <c r="L100" s="1"/>
  <c r="K98"/>
  <c r="I98" s="1"/>
  <c r="G99" l="1"/>
  <c r="K99" s="1"/>
  <c r="I99" s="1"/>
  <c r="E100"/>
  <c r="H99"/>
  <c r="F100"/>
  <c r="B102"/>
  <c r="J101"/>
  <c r="A101"/>
  <c r="L101" s="1"/>
  <c r="A102" l="1"/>
  <c r="L102" s="1"/>
  <c r="B103"/>
  <c r="J102"/>
  <c r="F101"/>
  <c r="E101"/>
  <c r="H100"/>
  <c r="G100"/>
  <c r="K100" s="1"/>
  <c r="I100" s="1"/>
  <c r="G101" l="1"/>
  <c r="K101" s="1"/>
  <c r="I101" s="1"/>
  <c r="F102"/>
  <c r="H101"/>
  <c r="E102"/>
  <c r="A103"/>
  <c r="L103" s="1"/>
  <c r="J103"/>
  <c r="B104"/>
  <c r="E103" l="1"/>
  <c r="F103"/>
  <c r="H102"/>
  <c r="G102"/>
  <c r="K102" s="1"/>
  <c r="I102" s="1"/>
  <c r="B105"/>
  <c r="J104"/>
  <c r="A104"/>
  <c r="L104" s="1"/>
  <c r="G103" l="1"/>
  <c r="K103" s="1"/>
  <c r="I103" s="1"/>
  <c r="E104"/>
  <c r="H103"/>
  <c r="F104"/>
  <c r="B106"/>
  <c r="J105"/>
  <c r="A105"/>
  <c r="L105" s="1"/>
  <c r="A106" l="1"/>
  <c r="L106" s="1"/>
  <c r="J106"/>
  <c r="B107"/>
  <c r="F105"/>
  <c r="E105"/>
  <c r="H104"/>
  <c r="G104"/>
  <c r="K104" s="1"/>
  <c r="I104" s="1"/>
  <c r="F106" l="1"/>
  <c r="H105"/>
  <c r="E106"/>
  <c r="G105"/>
  <c r="K105" s="1"/>
  <c r="I105" s="1"/>
  <c r="B108"/>
  <c r="J107"/>
  <c r="A107"/>
  <c r="L107" s="1"/>
  <c r="B109" l="1"/>
  <c r="J108"/>
  <c r="A108"/>
  <c r="L108" s="1"/>
  <c r="F107"/>
  <c r="E107"/>
  <c r="H106"/>
  <c r="G106"/>
  <c r="K106" s="1"/>
  <c r="I106" s="1"/>
  <c r="B110" l="1"/>
  <c r="A109"/>
  <c r="L109" s="1"/>
  <c r="J109"/>
  <c r="F108"/>
  <c r="G107"/>
  <c r="K107" s="1"/>
  <c r="I107" s="1"/>
  <c r="H107"/>
  <c r="E108"/>
  <c r="G108" l="1"/>
  <c r="H108"/>
  <c r="F109"/>
  <c r="E109"/>
  <c r="A110"/>
  <c r="L110" s="1"/>
  <c r="L111" s="1"/>
  <c r="J110"/>
  <c r="K108"/>
  <c r="I108" s="1"/>
  <c r="J111" l="1"/>
  <c r="G109"/>
  <c r="K109" s="1"/>
  <c r="I109" s="1"/>
  <c r="E110"/>
  <c r="H109"/>
  <c r="F110"/>
  <c r="H110" l="1"/>
  <c r="G110"/>
  <c r="K110" s="1"/>
  <c r="K111" l="1"/>
  <c r="I110"/>
  <c r="Q114" l="1"/>
  <c r="W111"/>
  <c r="V111"/>
  <c r="Q117" s="1"/>
  <c r="I111"/>
  <c r="Q115" l="1"/>
  <c r="Q116"/>
</calcChain>
</file>

<file path=xl/comments1.xml><?xml version="1.0" encoding="utf-8"?>
<comments xmlns="http://schemas.openxmlformats.org/spreadsheetml/2006/main">
  <authors>
    <author>User</author>
  </authors>
  <commentList>
    <comment ref="A35" authorId="0">
      <text>
        <r>
          <rPr>
            <sz val="14"/>
            <color indexed="81"/>
            <rFont val="Arial"/>
            <family val="2"/>
            <charset val="204"/>
          </rPr>
          <t>для скрытия неиспользуемых строк надо выбрать фильтром "ИСТИНА". 
Количество этих ячеек зависит от значения "Термін користування кредитом, міс."
Если надо отобразить все строки, то выбираем фильтром "(Все)".</t>
        </r>
      </text>
    </comment>
    <comment ref="A37" authorId="0">
      <text>
        <r>
          <rPr>
            <sz val="14"/>
            <color indexed="81"/>
            <rFont val="Arial"/>
            <family val="2"/>
            <charset val="204"/>
          </rPr>
          <t>для скрытия неиспользуемых строк надо выбрать фильтром "ИСТИНА". 
Количество этих ячеек зависит от значения "Термін користування кредитом, міс."
Если надо отобразить все строки, то выбираем фильтром "(Все)".</t>
        </r>
      </text>
    </comment>
  </commentList>
</comments>
</file>

<file path=xl/sharedStrings.xml><?xml version="1.0" encoding="utf-8"?>
<sst xmlns="http://schemas.openxmlformats.org/spreadsheetml/2006/main" count="219" uniqueCount="65">
  <si>
    <t>х</t>
  </si>
  <si>
    <t>Усього</t>
  </si>
  <si>
    <t>щомісяця по</t>
  </si>
  <si>
    <t>фільтр</t>
  </si>
  <si>
    <t>останній платіж</t>
  </si>
  <si>
    <t xml:space="preserve"> № з/п</t>
  </si>
  <si>
    <t>Кількість днів у розрахун- ковому періоді</t>
  </si>
  <si>
    <t>комісійний збір</t>
  </si>
  <si>
    <t>інша плата за послуги кредитного посередника</t>
  </si>
  <si>
    <t>щомісяця</t>
  </si>
  <si>
    <t>числа</t>
  </si>
  <si>
    <t>від суми наданого кредиту</t>
  </si>
  <si>
    <t>Платежі за додаткові та сукупні послуги:</t>
  </si>
  <si>
    <t xml:space="preserve">Дата видачі кредиту: </t>
  </si>
  <si>
    <t>Кінцева дата повернення кредиту:</t>
  </si>
  <si>
    <t xml:space="preserve">Порядок погашення кредиту, грн.: </t>
  </si>
  <si>
    <t xml:space="preserve">Дата погашення кредиту та процентів: </t>
  </si>
  <si>
    <t xml:space="preserve">Процентна ставка (фіксована): </t>
  </si>
  <si>
    <t>річних</t>
  </si>
  <si>
    <t>разова комісія за видачу готівкових коштів:</t>
  </si>
  <si>
    <t>ТАБЛИЦЯ
обчислення загальної вартості кредиту для споживача та реальної річної процентної ставки за договором про споживчий кредит</t>
  </si>
  <si>
    <t>Дата видачі кредиту/ дата платежу</t>
  </si>
  <si>
    <t>Чиста сума кредиту/ сума платежу за розрахунковий період, грн.</t>
  </si>
  <si>
    <t>Види платежів за кредитом</t>
  </si>
  <si>
    <t>сума кредиту за договором</t>
  </si>
  <si>
    <t>проценти за користування кредитом</t>
  </si>
  <si>
    <t>платежі за додаткові та супутні послуги</t>
  </si>
  <si>
    <t>розрахунково-касове обслуговування</t>
  </si>
  <si>
    <t>інші послуги банку</t>
  </si>
  <si>
    <t>банку</t>
  </si>
  <si>
    <t>кредитного посередника (за наявності)</t>
  </si>
  <si>
    <t>послуги нотаріуса</t>
  </si>
  <si>
    <t>послуги оцінювача</t>
  </si>
  <si>
    <t>послуги страховика</t>
  </si>
  <si>
    <t>третіх осіб</t>
  </si>
  <si>
    <t>Реальна річна процентна ставка, %</t>
  </si>
  <si>
    <t>Загальна вартість кредиту, грн</t>
  </si>
  <si>
    <t>інші послуги 
третіх осіб</t>
  </si>
  <si>
    <t>щомісячна комісія за проведення розрахунків</t>
  </si>
  <si>
    <t>комісія за видачу готівкових коштів</t>
  </si>
  <si>
    <t>Орієнтовна загальна вартість кредиту для споживача за весь строк користування кредитом (у т.ч. тіло кредиту, відсотки, комісії та інші платежі), грн.</t>
  </si>
  <si>
    <t>Кількість платежів</t>
  </si>
  <si>
    <t>державне мито</t>
  </si>
  <si>
    <t>пенсійний збір</t>
  </si>
  <si>
    <t>від вартості предмету іпотеки (один раз на рік)</t>
  </si>
  <si>
    <t>грн.</t>
  </si>
  <si>
    <t>від вартості предмету іпотеки</t>
  </si>
  <si>
    <t>Вартість предмету іпотеки, грн.:</t>
  </si>
  <si>
    <t>щорічна комісія за проведення розрахунків:</t>
  </si>
  <si>
    <t>Загальні витрати за кредитом (проценти за користуваннґ кредитом, комісії та інші обов'язкові платежі за додаткові та супутні послуги кредитодавця,кредитного посередника (за наявності) та третії осіб, пов'язані з отриманням, обслуговуванням та поверненням кредиту), грн.</t>
  </si>
  <si>
    <t>Сума платежу за розрахунковий період, грн.</t>
  </si>
  <si>
    <t>Орієнтовна реальна річна процентна ставка, % річних</t>
  </si>
  <si>
    <t>Застереження: наведені обчислення орієнтовної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</si>
  <si>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Орієнтовна 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 
Орієнтовна реальна річна процентна ставка обчислена з використанням фінансової функції ЧИСТВНДОХ програмного продукту Microsoft Excel.</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</si>
  <si>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орієнтовної реальної річної процентної ставки та орієнтовної загальної вартості кредиту для споживача.</t>
  </si>
  <si>
    <t>Дата розрахунку:</t>
  </si>
  <si>
    <t>Щомісячна комісія за проведення розрахунків:</t>
  </si>
  <si>
    <t>від суми середньоденного залишку овердрафту за місяць</t>
  </si>
  <si>
    <t>Калькулятор</t>
  </si>
  <si>
    <t>ячейки блакитногого кольору заповнюються Клієнтом виходячи з обраних умов кредитування</t>
  </si>
  <si>
    <t>Умови кредитування, обрані споживачем:</t>
  </si>
  <si>
    <t>«МОЯ КРЕДИТНА КАРТКА» – на поточні потреби, кредитний ліміт (овердрафт) на «зарплатну картку»</t>
  </si>
  <si>
    <t>*до 2-х середньомісячних заробітних плат за останні 6 місяців</t>
  </si>
  <si>
    <t xml:space="preserve">Сума кредиту*, грн.: </t>
  </si>
  <si>
    <t xml:space="preserve">Застереження: наведені обчислення платежу по кредиту розраховуються за фактичну кількість днів у місяці та  базуються на припущенні, що споживач постійно користується кредитом та погашає заборгованість по тілу кредита в дату повернення кредиту. </t>
  </si>
</sst>
</file>

<file path=xl/styles.xml><?xml version="1.0" encoding="utf-8"?>
<styleSheet xmlns="http://schemas.openxmlformats.org/spreadsheetml/2006/main">
  <numFmts count="4">
    <numFmt numFmtId="164" formatCode="_-* #,##0.00\ _г_р_н_._-;\-* #,##0.00\ _г_р_н_._-;_-* &quot;-&quot;??\ _г_р_н_._-;_-@_-"/>
    <numFmt numFmtId="165" formatCode="dd\.mm\.yy;@"/>
    <numFmt numFmtId="166" formatCode="#,##0.00_ ;[Red]\-#,##0.00\ "/>
    <numFmt numFmtId="167" formatCode="0.0%"/>
  </numFmts>
  <fonts count="15">
    <font>
      <sz val="10"/>
      <name val="Arial Cyr"/>
      <charset val="204"/>
    </font>
    <font>
      <sz val="10"/>
      <name val="Arial Cyr"/>
      <charset val="204"/>
    </font>
    <font>
      <sz val="14"/>
      <color indexed="81"/>
      <name val="Arial"/>
      <family val="2"/>
      <charset val="204"/>
    </font>
    <font>
      <sz val="9"/>
      <name val="Arial Cyr"/>
      <charset val="204"/>
    </font>
    <font>
      <sz val="10"/>
      <name val="Arial Cyr"/>
      <charset val="1"/>
    </font>
    <font>
      <b/>
      <sz val="9"/>
      <name val="Arial Cyr"/>
      <charset val="1"/>
    </font>
    <font>
      <sz val="9"/>
      <name val="Arial Cyr"/>
      <charset val="1"/>
    </font>
    <font>
      <b/>
      <sz val="7"/>
      <name val="Arial Cyr"/>
      <charset val="1"/>
    </font>
    <font>
      <sz val="9"/>
      <color indexed="9"/>
      <name val="Arial Cyr"/>
      <charset val="1"/>
    </font>
    <font>
      <sz val="9"/>
      <color indexed="21"/>
      <name val="Arial Cyr"/>
      <charset val="1"/>
    </font>
    <font>
      <sz val="10"/>
      <color indexed="21"/>
      <name val="Arial Cyr"/>
      <charset val="204"/>
    </font>
    <font>
      <sz val="9"/>
      <color rgb="FFFF0000"/>
      <name val="Arial Cyr"/>
      <charset val="1"/>
    </font>
    <font>
      <sz val="9"/>
      <color theme="2" tint="-9.9978637043366805E-2"/>
      <name val="Arial Cyr"/>
      <charset val="1"/>
    </font>
    <font>
      <b/>
      <sz val="14"/>
      <name val="Arial Cyr"/>
      <charset val="1"/>
    </font>
    <font>
      <b/>
      <sz val="16"/>
      <name val="Arial Cyr"/>
      <charset val="1"/>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68">
    <xf numFmtId="0" fontId="0" fillId="0" borderId="0" xfId="0"/>
    <xf numFmtId="2" fontId="3" fillId="0" borderId="1" xfId="0" applyNumberFormat="1" applyFont="1" applyBorder="1" applyAlignment="1">
      <alignment horizontal="center"/>
    </xf>
    <xf numFmtId="2" fontId="3" fillId="0" borderId="1" xfId="0" applyNumberFormat="1" applyFont="1" applyBorder="1"/>
    <xf numFmtId="4" fontId="3" fillId="0" borderId="1" xfId="0" applyNumberFormat="1" applyFont="1" applyFill="1" applyBorder="1"/>
    <xf numFmtId="3" fontId="3" fillId="2" borderId="1" xfId="0" applyNumberFormat="1" applyFont="1" applyFill="1" applyBorder="1" applyAlignment="1">
      <alignment horizontal="center"/>
    </xf>
    <xf numFmtId="0" fontId="3" fillId="0" borderId="2" xfId="0" applyFont="1" applyBorder="1" applyAlignment="1"/>
    <xf numFmtId="0" fontId="4" fillId="2" borderId="0" xfId="0" applyFont="1" applyFill="1"/>
    <xf numFmtId="0" fontId="4" fillId="0" borderId="0" xfId="0" applyFont="1"/>
    <xf numFmtId="0" fontId="6" fillId="0" borderId="0" xfId="0" applyFont="1" applyAlignment="1"/>
    <xf numFmtId="0" fontId="6" fillId="0" borderId="0" xfId="0" applyFont="1"/>
    <xf numFmtId="0" fontId="6" fillId="2" borderId="0" xfId="0" applyFont="1" applyFill="1"/>
    <xf numFmtId="0" fontId="6" fillId="4" borderId="0" xfId="0" applyFont="1" applyFill="1"/>
    <xf numFmtId="0" fontId="6" fillId="0" borderId="0" xfId="0" applyFont="1" applyAlignment="1">
      <alignment horizontal="left"/>
    </xf>
    <xf numFmtId="0" fontId="6" fillId="2" borderId="0" xfId="0" applyFont="1" applyFill="1" applyAlignment="1">
      <alignment horizontal="left"/>
    </xf>
    <xf numFmtId="0" fontId="4" fillId="2" borderId="0" xfId="0" applyFont="1" applyFill="1" applyAlignment="1"/>
    <xf numFmtId="0" fontId="4" fillId="2" borderId="0" xfId="0" applyFont="1" applyFill="1" applyAlignment="1">
      <alignment wrapText="1"/>
    </xf>
    <xf numFmtId="0" fontId="6" fillId="0" borderId="0" xfId="0" applyFont="1" applyAlignment="1">
      <alignment horizontal="center"/>
    </xf>
    <xf numFmtId="0" fontId="6" fillId="0" borderId="0" xfId="0" applyFont="1" applyBorder="1" applyAlignment="1">
      <alignment horizontal="left"/>
    </xf>
    <xf numFmtId="9" fontId="5" fillId="0" borderId="0" xfId="0" applyNumberFormat="1" applyFont="1" applyBorder="1" applyAlignment="1" applyProtection="1">
      <alignment horizontal="center"/>
      <protection locked="0"/>
    </xf>
    <xf numFmtId="9" fontId="5" fillId="0" borderId="0" xfId="0" applyNumberFormat="1" applyFont="1" applyBorder="1" applyAlignment="1">
      <alignment horizontal="center"/>
    </xf>
    <xf numFmtId="2" fontId="8" fillId="0" borderId="0" xfId="0" applyNumberFormat="1" applyFont="1"/>
    <xf numFmtId="0" fontId="6" fillId="2" borderId="0" xfId="0" applyFont="1" applyFill="1" applyBorder="1" applyAlignment="1">
      <alignment horizontal="left"/>
    </xf>
    <xf numFmtId="0" fontId="6" fillId="2" borderId="0" xfId="0" applyFont="1" applyFill="1" applyAlignment="1"/>
    <xf numFmtId="9" fontId="5" fillId="2" borderId="0" xfId="0" applyNumberFormat="1" applyFont="1" applyFill="1" applyBorder="1" applyAlignment="1" applyProtection="1">
      <alignment horizontal="center"/>
      <protection locked="0"/>
    </xf>
    <xf numFmtId="9" fontId="5" fillId="2" borderId="0" xfId="0" applyNumberFormat="1" applyFont="1" applyFill="1" applyBorder="1" applyAlignment="1">
      <alignment horizontal="center"/>
    </xf>
    <xf numFmtId="2" fontId="8" fillId="2" borderId="0" xfId="0" applyNumberFormat="1" applyFont="1" applyFill="1"/>
    <xf numFmtId="0" fontId="6" fillId="0" borderId="0" xfId="0" applyFont="1" applyFill="1" applyAlignment="1">
      <alignment wrapText="1"/>
    </xf>
    <xf numFmtId="0" fontId="6" fillId="2" borderId="0" xfId="0" applyFont="1" applyFill="1" applyAlignment="1">
      <alignment wrapText="1"/>
    </xf>
    <xf numFmtId="0" fontId="6" fillId="2" borderId="0" xfId="0" applyFont="1" applyFill="1" applyAlignment="1">
      <alignment horizontal="center" vertical="center" textRotation="90"/>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9" fillId="2" borderId="0" xfId="0" applyFont="1" applyFill="1" applyAlignment="1">
      <alignment shrinkToFit="1"/>
    </xf>
    <xf numFmtId="0" fontId="6" fillId="0" borderId="1" xfId="0" applyFont="1" applyBorder="1" applyAlignment="1">
      <alignment horizontal="center"/>
    </xf>
    <xf numFmtId="165" fontId="6" fillId="0" borderId="3" xfId="0" applyNumberFormat="1" applyFont="1" applyBorder="1" applyAlignment="1">
      <alignment horizontal="center"/>
    </xf>
    <xf numFmtId="165" fontId="6" fillId="2" borderId="1" xfId="0" applyNumberFormat="1" applyFont="1" applyFill="1" applyBorder="1" applyAlignment="1">
      <alignment horizontal="center"/>
    </xf>
    <xf numFmtId="166" fontId="6" fillId="0" borderId="1" xfId="0" applyNumberFormat="1" applyFont="1" applyBorder="1" applyAlignment="1">
      <alignment horizontal="right"/>
    </xf>
    <xf numFmtId="2" fontId="6" fillId="0" borderId="1" xfId="0" applyNumberFormat="1" applyFont="1" applyBorder="1" applyAlignment="1">
      <alignment horizontal="center"/>
    </xf>
    <xf numFmtId="0" fontId="6" fillId="0" borderId="2" xfId="0" applyFont="1" applyBorder="1" applyAlignment="1"/>
    <xf numFmtId="2" fontId="6" fillId="0" borderId="1" xfId="0" applyNumberFormat="1" applyFont="1" applyBorder="1"/>
    <xf numFmtId="4" fontId="6" fillId="0" borderId="1" xfId="0" applyNumberFormat="1" applyFont="1" applyBorder="1"/>
    <xf numFmtId="2" fontId="6" fillId="4" borderId="1" xfId="0" applyNumberFormat="1" applyFont="1" applyFill="1" applyBorder="1"/>
    <xf numFmtId="3" fontId="6" fillId="0" borderId="1" xfId="0" applyNumberFormat="1" applyFont="1" applyBorder="1" applyAlignment="1">
      <alignment horizontal="center"/>
    </xf>
    <xf numFmtId="3" fontId="6" fillId="2" borderId="1" xfId="0" applyNumberFormat="1" applyFont="1" applyFill="1" applyBorder="1" applyAlignment="1">
      <alignment horizontal="center"/>
    </xf>
    <xf numFmtId="4" fontId="6" fillId="0" borderId="1" xfId="0" applyNumberFormat="1" applyFont="1" applyFill="1" applyBorder="1"/>
    <xf numFmtId="0" fontId="6" fillId="0" borderId="1" xfId="0" applyFont="1" applyBorder="1" applyAlignment="1">
      <alignment shrinkToFit="1"/>
    </xf>
    <xf numFmtId="3" fontId="6" fillId="0" borderId="1" xfId="0" applyNumberFormat="1" applyFont="1" applyBorder="1" applyAlignment="1">
      <alignment horizontal="center" shrinkToFit="1"/>
    </xf>
    <xf numFmtId="3" fontId="6" fillId="2" borderId="1" xfId="0" applyNumberFormat="1" applyFont="1" applyFill="1" applyBorder="1" applyAlignment="1">
      <alignment horizontal="center" shrinkToFit="1"/>
    </xf>
    <xf numFmtId="4" fontId="6" fillId="0" borderId="1" xfId="0" applyNumberFormat="1" applyFont="1" applyBorder="1" applyAlignment="1">
      <alignment horizontal="right" shrinkToFit="1"/>
    </xf>
    <xf numFmtId="0" fontId="6" fillId="2" borderId="0" xfId="0" applyFont="1" applyFill="1" applyAlignment="1">
      <alignment shrinkToFit="1"/>
    </xf>
    <xf numFmtId="0" fontId="5" fillId="2" borderId="0" xfId="0" applyFont="1" applyFill="1" applyAlignment="1">
      <alignment horizontal="right" vertical="top"/>
    </xf>
    <xf numFmtId="0" fontId="6" fillId="4" borderId="0" xfId="0" applyFont="1" applyFill="1" applyAlignment="1"/>
    <xf numFmtId="49"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4" fillId="2" borderId="0" xfId="0" applyFont="1" applyFill="1" applyAlignment="1">
      <alignment horizontal="center"/>
    </xf>
    <xf numFmtId="0" fontId="6" fillId="2" borderId="0" xfId="0" applyFont="1" applyFill="1" applyAlignment="1">
      <alignment horizontal="center"/>
    </xf>
    <xf numFmtId="0" fontId="6" fillId="0" borderId="0" xfId="0" applyFont="1" applyAlignment="1">
      <alignment horizontal="center" wrapText="1"/>
    </xf>
    <xf numFmtId="14" fontId="6" fillId="0" borderId="3" xfId="0" applyNumberFormat="1" applyFont="1" applyBorder="1" applyAlignment="1">
      <alignment horizontal="center"/>
    </xf>
    <xf numFmtId="14" fontId="6" fillId="0" borderId="1" xfId="0" applyNumberFormat="1" applyFont="1" applyBorder="1" applyAlignment="1">
      <alignment horizontal="center"/>
    </xf>
    <xf numFmtId="0" fontId="4" fillId="0" borderId="0" xfId="0" applyFont="1" applyAlignment="1">
      <alignment horizontal="center"/>
    </xf>
    <xf numFmtId="10" fontId="6" fillId="4" borderId="1" xfId="0" applyNumberFormat="1" applyFont="1" applyFill="1" applyBorder="1" applyAlignment="1">
      <alignment shrinkToFit="1"/>
    </xf>
    <xf numFmtId="0" fontId="6" fillId="4" borderId="1" xfId="0" applyFont="1" applyFill="1" applyBorder="1" applyAlignment="1">
      <alignment horizontal="center" vertical="center" textRotation="90" wrapText="1"/>
    </xf>
    <xf numFmtId="14" fontId="3" fillId="0" borderId="1" xfId="0" applyNumberFormat="1" applyFont="1" applyFill="1" applyBorder="1" applyAlignment="1">
      <alignment horizontal="right" shrinkToFit="1"/>
    </xf>
    <xf numFmtId="1" fontId="3" fillId="0" borderId="1" xfId="0" applyNumberFormat="1" applyFont="1" applyBorder="1" applyAlignment="1">
      <alignment horizontal="center"/>
    </xf>
    <xf numFmtId="166" fontId="3" fillId="0" borderId="1" xfId="0" applyNumberFormat="1" applyFont="1" applyBorder="1"/>
    <xf numFmtId="0" fontId="5" fillId="4" borderId="0" xfId="0" applyFont="1" applyFill="1" applyAlignment="1"/>
    <xf numFmtId="0" fontId="11" fillId="0" borderId="0" xfId="0" applyFont="1" applyFill="1" applyAlignment="1">
      <alignment wrapText="1"/>
    </xf>
    <xf numFmtId="0" fontId="6" fillId="5" borderId="0" xfId="0" applyFont="1" applyFill="1"/>
    <xf numFmtId="0" fontId="6" fillId="5" borderId="0" xfId="0" applyFont="1" applyFill="1" applyAlignment="1">
      <alignment horizontal="left"/>
    </xf>
    <xf numFmtId="0" fontId="6" fillId="5" borderId="0" xfId="0" applyFont="1" applyFill="1" applyAlignment="1"/>
    <xf numFmtId="0" fontId="6" fillId="5" borderId="0" xfId="0" applyFont="1" applyFill="1" applyBorder="1" applyAlignment="1">
      <alignment horizontal="left"/>
    </xf>
    <xf numFmtId="14" fontId="5" fillId="5" borderId="0" xfId="0" applyNumberFormat="1" applyFont="1" applyFill="1" applyAlignment="1" applyProtection="1">
      <alignment horizontal="center"/>
      <protection locked="0"/>
    </xf>
    <xf numFmtId="14" fontId="7" fillId="5" borderId="0" xfId="0" applyNumberFormat="1" applyFont="1" applyFill="1"/>
    <xf numFmtId="4" fontId="5" fillId="5" borderId="0" xfId="0" applyNumberFormat="1" applyFont="1" applyFill="1" applyAlignment="1" applyProtection="1">
      <alignment horizontal="center"/>
      <protection locked="0"/>
    </xf>
    <xf numFmtId="4" fontId="5" fillId="5" borderId="0" xfId="1" applyNumberFormat="1" applyFont="1" applyFill="1" applyBorder="1" applyAlignment="1">
      <alignment horizontal="left"/>
    </xf>
    <xf numFmtId="4" fontId="5" fillId="5" borderId="0" xfId="0" applyNumberFormat="1" applyFont="1" applyFill="1" applyAlignment="1">
      <alignment horizontal="center"/>
    </xf>
    <xf numFmtId="1" fontId="5" fillId="5" borderId="0" xfId="0" applyNumberFormat="1" applyFont="1" applyFill="1" applyAlignment="1">
      <alignment horizontal="center"/>
    </xf>
    <xf numFmtId="0" fontId="5" fillId="5" borderId="0" xfId="0" applyFont="1" applyFill="1" applyAlignment="1">
      <alignment horizontal="left"/>
    </xf>
    <xf numFmtId="9" fontId="5" fillId="5" borderId="0" xfId="0" applyNumberFormat="1" applyFont="1" applyFill="1" applyBorder="1" applyAlignment="1" applyProtection="1">
      <alignment horizontal="center"/>
      <protection locked="0"/>
    </xf>
    <xf numFmtId="10" fontId="5" fillId="5" borderId="0" xfId="0" applyNumberFormat="1" applyFont="1" applyFill="1" applyBorder="1" applyAlignment="1">
      <alignment horizontal="center"/>
    </xf>
    <xf numFmtId="2" fontId="8" fillId="5" borderId="0" xfId="0" applyNumberFormat="1" applyFont="1" applyFill="1"/>
    <xf numFmtId="4" fontId="5" fillId="5" borderId="0" xfId="0" applyNumberFormat="1" applyFont="1" applyFill="1" applyBorder="1" applyAlignment="1">
      <alignment horizontal="center"/>
    </xf>
    <xf numFmtId="9" fontId="5" fillId="5" borderId="0" xfId="0" applyNumberFormat="1" applyFont="1" applyFill="1" applyBorder="1" applyAlignment="1">
      <alignment horizontal="center"/>
    </xf>
    <xf numFmtId="0" fontId="6" fillId="5" borderId="0" xfId="0" applyFont="1" applyFill="1" applyAlignment="1"/>
    <xf numFmtId="0" fontId="6" fillId="5" borderId="0" xfId="0" applyFont="1" applyFill="1" applyAlignment="1">
      <alignment horizontal="left"/>
    </xf>
    <xf numFmtId="0" fontId="6" fillId="4" borderId="0" xfId="0" applyFont="1" applyFill="1" applyAlignment="1">
      <alignment horizontal="center"/>
    </xf>
    <xf numFmtId="0" fontId="10" fillId="2" borderId="0" xfId="0" applyFont="1" applyFill="1" applyAlignment="1">
      <alignment shrinkToFit="1"/>
    </xf>
    <xf numFmtId="0" fontId="3" fillId="0" borderId="1" xfId="0" applyFont="1" applyBorder="1" applyAlignment="1">
      <alignment horizontal="center"/>
    </xf>
    <xf numFmtId="14" fontId="3" fillId="0" borderId="1" xfId="0" applyNumberFormat="1" applyFont="1" applyBorder="1" applyAlignment="1">
      <alignment horizontal="right"/>
    </xf>
    <xf numFmtId="14" fontId="3" fillId="2" borderId="1" xfId="0" applyNumberFormat="1" applyFont="1" applyFill="1" applyBorder="1" applyAlignment="1">
      <alignment horizontal="right"/>
    </xf>
    <xf numFmtId="3" fontId="3" fillId="0" borderId="1" xfId="0" applyNumberFormat="1" applyFont="1" applyBorder="1" applyAlignment="1">
      <alignment horizontal="center"/>
    </xf>
    <xf numFmtId="14" fontId="3" fillId="2" borderId="1" xfId="0" applyNumberFormat="1" applyFont="1" applyFill="1" applyBorder="1"/>
    <xf numFmtId="0" fontId="0" fillId="6" borderId="0" xfId="0" applyFill="1"/>
    <xf numFmtId="0" fontId="6" fillId="6" borderId="0" xfId="0" applyFont="1" applyFill="1" applyBorder="1" applyAlignment="1">
      <alignment shrinkToFit="1"/>
    </xf>
    <xf numFmtId="0" fontId="6" fillId="5" borderId="0" xfId="0" applyFont="1" applyFill="1" applyBorder="1" applyAlignment="1">
      <alignment horizontal="left"/>
    </xf>
    <xf numFmtId="0" fontId="6" fillId="5" borderId="0" xfId="0" applyFont="1" applyFill="1" applyAlignment="1"/>
    <xf numFmtId="0" fontId="6" fillId="5" borderId="0" xfId="0" applyFont="1" applyFill="1" applyAlignment="1">
      <alignment horizontal="left"/>
    </xf>
    <xf numFmtId="0" fontId="5" fillId="4" borderId="0" xfId="0" applyFont="1" applyFill="1" applyAlignment="1">
      <alignment horizontal="left"/>
    </xf>
    <xf numFmtId="0" fontId="6" fillId="2" borderId="0" xfId="0" applyNumberFormat="1" applyFont="1" applyFill="1"/>
    <xf numFmtId="0" fontId="5" fillId="4" borderId="0" xfId="0" applyFont="1" applyFill="1" applyAlignment="1">
      <alignment horizontal="center"/>
    </xf>
    <xf numFmtId="0" fontId="6" fillId="4" borderId="0" xfId="0" applyFont="1" applyFill="1" applyAlignment="1">
      <alignment horizontal="right" vertical="center"/>
    </xf>
    <xf numFmtId="2" fontId="12" fillId="5" borderId="0" xfId="0" applyNumberFormat="1" applyFont="1" applyFill="1"/>
    <xf numFmtId="14" fontId="13" fillId="5" borderId="0" xfId="0" applyNumberFormat="1" applyFont="1" applyFill="1" applyProtection="1">
      <protection hidden="1"/>
    </xf>
    <xf numFmtId="0" fontId="4" fillId="5" borderId="0" xfId="0" applyFont="1" applyFill="1"/>
    <xf numFmtId="0" fontId="4" fillId="5" borderId="0" xfId="0" applyFont="1" applyFill="1" applyAlignment="1">
      <alignment horizontal="center"/>
    </xf>
    <xf numFmtId="0" fontId="6" fillId="7" borderId="0" xfId="0" applyFont="1" applyFill="1" applyAlignment="1" applyProtection="1">
      <alignment horizontal="left"/>
      <protection hidden="1"/>
    </xf>
    <xf numFmtId="0" fontId="6" fillId="5" borderId="0" xfId="0" applyFont="1" applyFill="1" applyAlignment="1" applyProtection="1">
      <alignment horizontal="left" vertical="center"/>
      <protection hidden="1"/>
    </xf>
    <xf numFmtId="0" fontId="6" fillId="5" borderId="0" xfId="0" applyFont="1" applyFill="1" applyAlignment="1" applyProtection="1">
      <alignment horizontal="left"/>
      <protection hidden="1"/>
    </xf>
    <xf numFmtId="0" fontId="5" fillId="5" borderId="0" xfId="0" applyFont="1" applyFill="1" applyAlignment="1" applyProtection="1">
      <protection hidden="1"/>
    </xf>
    <xf numFmtId="0" fontId="6" fillId="5" borderId="0" xfId="0" applyFont="1" applyFill="1" applyAlignment="1" applyProtection="1">
      <protection hidden="1"/>
    </xf>
    <xf numFmtId="0" fontId="6" fillId="5" borderId="0" xfId="0" applyFont="1" applyFill="1" applyProtection="1">
      <protection hidden="1"/>
    </xf>
    <xf numFmtId="14" fontId="5" fillId="5" borderId="0" xfId="0" applyNumberFormat="1" applyFont="1" applyFill="1" applyAlignment="1" applyProtection="1">
      <alignment horizontal="center"/>
      <protection hidden="1"/>
    </xf>
    <xf numFmtId="14" fontId="7" fillId="5" borderId="0" xfId="0" applyNumberFormat="1" applyFont="1" applyFill="1" applyProtection="1">
      <protection hidden="1"/>
    </xf>
    <xf numFmtId="14" fontId="13" fillId="5" borderId="0" xfId="0" applyNumberFormat="1" applyFont="1" applyFill="1" applyAlignment="1" applyProtection="1">
      <alignment horizontal="center"/>
      <protection hidden="1"/>
    </xf>
    <xf numFmtId="14" fontId="14" fillId="5" borderId="0" xfId="0" applyNumberFormat="1" applyFont="1" applyFill="1" applyProtection="1">
      <protection hidden="1"/>
    </xf>
    <xf numFmtId="4" fontId="5" fillId="7" borderId="0" xfId="0" applyNumberFormat="1" applyFont="1" applyFill="1" applyAlignment="1" applyProtection="1">
      <alignment horizontal="center"/>
      <protection locked="0"/>
    </xf>
    <xf numFmtId="3" fontId="5" fillId="5" borderId="0" xfId="0" applyNumberFormat="1" applyFont="1" applyFill="1" applyAlignment="1" applyProtection="1">
      <alignment horizontal="center"/>
    </xf>
    <xf numFmtId="0" fontId="6" fillId="5" borderId="0" xfId="0" applyFont="1" applyFill="1" applyAlignment="1" applyProtection="1">
      <alignment horizontal="center"/>
    </xf>
    <xf numFmtId="167" fontId="5" fillId="5" borderId="0" xfId="0" applyNumberFormat="1" applyFont="1" applyFill="1" applyAlignment="1" applyProtection="1">
      <alignment horizontal="center"/>
    </xf>
    <xf numFmtId="10" fontId="5" fillId="5" borderId="0" xfId="0" applyNumberFormat="1" applyFont="1" applyFill="1" applyBorder="1" applyAlignment="1" applyProtection="1">
      <alignment horizontal="center"/>
    </xf>
    <xf numFmtId="4" fontId="6" fillId="5" borderId="0" xfId="1" applyNumberFormat="1" applyFont="1" applyFill="1" applyBorder="1" applyAlignment="1">
      <alignment horizontal="left"/>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 xfId="0" applyFont="1" applyBorder="1" applyAlignment="1">
      <alignment horizontal="center" vertical="center" wrapText="1"/>
    </xf>
    <xf numFmtId="0" fontId="5" fillId="0" borderId="0" xfId="0" applyFont="1" applyBorder="1" applyAlignment="1">
      <alignment horizontal="center" wrapText="1"/>
    </xf>
    <xf numFmtId="0" fontId="5" fillId="0" borderId="0" xfId="0" applyFont="1" applyAlignment="1">
      <alignment horizontal="center" wrapText="1"/>
    </xf>
    <xf numFmtId="0" fontId="5" fillId="0" borderId="0" xfId="0" applyFont="1" applyAlignment="1">
      <alignment horizontal="center" vertical="center" wrapText="1"/>
    </xf>
    <xf numFmtId="0" fontId="6" fillId="3" borderId="0" xfId="0" applyFont="1" applyFill="1" applyAlignment="1">
      <alignment horizontal="left" vertical="center"/>
    </xf>
    <xf numFmtId="0" fontId="6" fillId="0" borderId="0" xfId="0" applyFont="1" applyFill="1" applyAlignment="1">
      <alignment wrapText="1"/>
    </xf>
    <xf numFmtId="0" fontId="6" fillId="5" borderId="0" xfId="0" applyFont="1" applyFill="1" applyBorder="1" applyAlignment="1">
      <alignment horizontal="left"/>
    </xf>
    <xf numFmtId="0" fontId="6" fillId="5" borderId="0" xfId="0" applyFont="1" applyFill="1" applyAlignment="1"/>
    <xf numFmtId="0" fontId="4" fillId="2" borderId="0" xfId="0" applyFont="1" applyFill="1" applyAlignment="1"/>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4" borderId="9"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5" borderId="0" xfId="0" applyFont="1" applyFill="1" applyAlignment="1">
      <alignment horizontal="left"/>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5" borderId="0" xfId="0" applyFont="1" applyFill="1" applyAlignment="1">
      <alignment horizontal="right"/>
    </xf>
    <xf numFmtId="0" fontId="4" fillId="5" borderId="0" xfId="0" applyFont="1" applyFill="1" applyAlignment="1">
      <alignment horizontal="right"/>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5" fillId="5" borderId="0" xfId="0" applyFont="1" applyFill="1" applyAlignment="1">
      <alignment horizontal="left"/>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4" borderId="1" xfId="0" applyFont="1" applyFill="1" applyBorder="1" applyAlignment="1">
      <alignment horizontal="left" vertical="center" wrapText="1"/>
    </xf>
    <xf numFmtId="0" fontId="5" fillId="4" borderId="0" xfId="0" applyFont="1" applyFill="1" applyAlignment="1">
      <alignment horizontal="center"/>
    </xf>
    <xf numFmtId="0" fontId="6" fillId="4" borderId="1" xfId="0" applyNumberFormat="1" applyFont="1" applyFill="1" applyBorder="1" applyAlignment="1">
      <alignment horizontal="left" vertical="center" wrapText="1"/>
    </xf>
    <xf numFmtId="0" fontId="6" fillId="4" borderId="0" xfId="0" applyNumberFormat="1" applyFont="1" applyFill="1" applyAlignment="1">
      <alignment horizontal="center"/>
    </xf>
    <xf numFmtId="0" fontId="6" fillId="4" borderId="0"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4" fontId="5" fillId="4" borderId="1" xfId="0" applyNumberFormat="1" applyFont="1" applyFill="1" applyBorder="1" applyAlignment="1">
      <alignment horizontal="center" vertical="center"/>
    </xf>
    <xf numFmtId="2" fontId="5" fillId="4" borderId="1" xfId="0" applyNumberFormat="1" applyFont="1" applyFill="1" applyBorder="1" applyAlignment="1">
      <alignment horizontal="center" vertical="center"/>
    </xf>
    <xf numFmtId="0" fontId="6" fillId="4" borderId="0" xfId="0" applyFont="1" applyFill="1" applyBorder="1" applyAlignment="1">
      <alignment vertical="center" wrapText="1"/>
    </xf>
    <xf numFmtId="0" fontId="6" fillId="4" borderId="0" xfId="0" applyNumberFormat="1" applyFont="1" applyFill="1" applyBorder="1" applyAlignment="1">
      <alignment vertical="center"/>
    </xf>
    <xf numFmtId="0" fontId="6" fillId="4" borderId="0" xfId="0" applyFont="1" applyFill="1" applyBorder="1" applyAlignment="1">
      <alignment vertical="center"/>
    </xf>
    <xf numFmtId="0" fontId="6" fillId="4" borderId="9" xfId="0" applyFont="1" applyFill="1" applyBorder="1" applyAlignment="1">
      <alignment horizontal="left" vertical="center"/>
    </xf>
    <xf numFmtId="0" fontId="6" fillId="4" borderId="12" xfId="0" applyFont="1" applyFill="1" applyBorder="1" applyAlignment="1">
      <alignment horizontal="left" vertical="center"/>
    </xf>
    <xf numFmtId="0" fontId="6" fillId="4" borderId="0" xfId="0" applyFont="1" applyFill="1" applyBorder="1" applyAlignment="1">
      <alignment horizontal="center"/>
    </xf>
    <xf numFmtId="0" fontId="6" fillId="4" borderId="2" xfId="0" applyFont="1" applyFill="1" applyBorder="1" applyAlignment="1">
      <alignment horizontal="left" vertical="center"/>
    </xf>
    <xf numFmtId="10" fontId="5" fillId="4" borderId="1" xfId="0" applyNumberFormat="1" applyFont="1" applyFill="1" applyBorder="1" applyAlignment="1">
      <alignment horizontal="center" vertical="center"/>
    </xf>
  </cellXfs>
  <cellStyles count="2">
    <cellStyle name="Обычный" xfId="0" builtinId="0"/>
    <cellStyle name="Финансовый" xfId="1" builtinId="3"/>
  </cellStyles>
  <dxfs count="4">
    <dxf>
      <font>
        <b/>
        <i/>
        <strike val="0"/>
        <condense val="0"/>
        <extend val="0"/>
        <u val="double"/>
        <color indexed="14"/>
      </font>
      <fill>
        <patternFill>
          <bgColor indexed="31"/>
        </patternFill>
      </fill>
      <border>
        <left/>
        <right/>
        <top/>
        <bottom/>
      </border>
    </dxf>
    <dxf>
      <font>
        <condense val="0"/>
        <extend val="0"/>
        <color indexed="9"/>
      </font>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5</xdr:col>
      <xdr:colOff>0</xdr:colOff>
      <xdr:row>0</xdr:row>
      <xdr:rowOff>0</xdr:rowOff>
    </xdr:to>
    <xdr:grpSp>
      <xdr:nvGrpSpPr>
        <xdr:cNvPr id="11373" name="Group 205"/>
        <xdr:cNvGrpSpPr>
          <a:grpSpLocks/>
        </xdr:cNvGrpSpPr>
      </xdr:nvGrpSpPr>
      <xdr:grpSpPr bwMode="auto">
        <a:xfrm>
          <a:off x="1181100" y="0"/>
          <a:ext cx="676275" cy="0"/>
          <a:chOff x="772" y="6"/>
          <a:chExt cx="88" cy="71"/>
        </a:xfrm>
      </xdr:grpSpPr>
      <xdr:sp macro="" textlink="">
        <xdr:nvSpPr>
          <xdr:cNvPr id="2" name="Rectangle 206"/>
          <xdr:cNvSpPr>
            <a:spLocks noChangeArrowheads="1"/>
          </xdr:cNvSpPr>
        </xdr:nvSpPr>
        <xdr:spPr bwMode="auto">
          <a:xfrm>
            <a:off x="2720531900139" y="0"/>
            <a:ext cx="72" cy="0"/>
          </a:xfrm>
          <a:prstGeom prst="rect">
            <a:avLst/>
          </a:prstGeom>
          <a:solidFill>
            <a:srgbClr val="FFFFCC"/>
          </a:solidFill>
          <a:ln w="9525">
            <a:solidFill>
              <a:srgbClr val="0000FF"/>
            </a:solidFill>
            <a:miter lim="800000"/>
            <a:headEnd/>
            <a:tailEnd/>
          </a:ln>
        </xdr:spPr>
        <xdr:txBody>
          <a:bodyPr vertOverflow="clip" wrap="square" lIns="27432" tIns="22860" rIns="27432" bIns="22860" anchor="ctr" upright="1"/>
          <a:lstStyle/>
          <a:p>
            <a:pPr algn="ctr" rtl="1">
              <a:defRPr sz="1000"/>
            </a:pPr>
            <a:r>
              <a:rPr lang="ru-RU" sz="700" b="1" i="0" strike="noStrike">
                <a:solidFill>
                  <a:srgbClr val="0000FF"/>
                </a:solidFill>
                <a:latin typeface="Arial Cyr"/>
              </a:rPr>
              <a:t>введіть   номер</a:t>
            </a:r>
          </a:p>
          <a:p>
            <a:pPr algn="ctr" rtl="1">
              <a:defRPr sz="1000"/>
            </a:pPr>
            <a:r>
              <a:rPr lang="ru-RU" sz="700" b="1" i="0" strike="noStrike">
                <a:solidFill>
                  <a:srgbClr val="0000FF"/>
                </a:solidFill>
                <a:latin typeface="Arial Cyr"/>
              </a:rPr>
              <a:t>договору</a:t>
            </a:r>
          </a:p>
        </xdr:txBody>
      </xdr:sp>
      <xdr:sp macro="" textlink="">
        <xdr:nvSpPr>
          <xdr:cNvPr id="11379" name="AutoShape 207"/>
          <xdr:cNvSpPr>
            <a:spLocks noChangeArrowheads="1"/>
          </xdr:cNvSpPr>
        </xdr:nvSpPr>
        <xdr:spPr bwMode="auto">
          <a:xfrm rot="10800000" flipH="1">
            <a:off x="844" y="9"/>
            <a:ext cx="16" cy="63"/>
          </a:xfrm>
          <a:prstGeom prst="rightArrow">
            <a:avLst>
              <a:gd name="adj1" fmla="val 95657"/>
              <a:gd name="adj2" fmla="val 100000"/>
            </a:avLst>
          </a:prstGeom>
          <a:solidFill>
            <a:srgbClr val="FFFFCC"/>
          </a:solidFill>
          <a:ln w="9525">
            <a:solidFill>
              <a:srgbClr val="0000FF"/>
            </a:solidFill>
            <a:miter lim="800000"/>
            <a:headEnd/>
            <a:tailEnd/>
          </a:ln>
        </xdr:spPr>
      </xdr:sp>
    </xdr:grpSp>
    <xdr:clientData/>
  </xdr:twoCellAnchor>
  <xdr:twoCellAnchor>
    <xdr:from>
      <xdr:col>9</xdr:col>
      <xdr:colOff>28575</xdr:colOff>
      <xdr:row>0</xdr:row>
      <xdr:rowOff>0</xdr:rowOff>
    </xdr:from>
    <xdr:to>
      <xdr:col>10</xdr:col>
      <xdr:colOff>9525</xdr:colOff>
      <xdr:row>0</xdr:row>
      <xdr:rowOff>0</xdr:rowOff>
    </xdr:to>
    <xdr:grpSp>
      <xdr:nvGrpSpPr>
        <xdr:cNvPr id="11374" name="Group 205"/>
        <xdr:cNvGrpSpPr>
          <a:grpSpLocks/>
        </xdr:cNvGrpSpPr>
      </xdr:nvGrpSpPr>
      <xdr:grpSpPr bwMode="auto">
        <a:xfrm>
          <a:off x="3314700" y="0"/>
          <a:ext cx="714375" cy="0"/>
          <a:chOff x="772" y="6"/>
          <a:chExt cx="88" cy="71"/>
        </a:xfrm>
      </xdr:grpSpPr>
      <xdr:sp macro="" textlink="">
        <xdr:nvSpPr>
          <xdr:cNvPr id="3278" name="Rectangle 206"/>
          <xdr:cNvSpPr>
            <a:spLocks noChangeArrowheads="1"/>
          </xdr:cNvSpPr>
        </xdr:nvSpPr>
        <xdr:spPr bwMode="auto">
          <a:xfrm>
            <a:off x="-5732563276124" y="0"/>
            <a:ext cx="74" cy="0"/>
          </a:xfrm>
          <a:prstGeom prst="rect">
            <a:avLst/>
          </a:prstGeom>
          <a:solidFill>
            <a:srgbClr val="FFFFCC"/>
          </a:solidFill>
          <a:ln w="9525">
            <a:solidFill>
              <a:srgbClr val="0000FF"/>
            </a:solidFill>
            <a:miter lim="800000"/>
            <a:headEnd/>
            <a:tailEnd/>
          </a:ln>
        </xdr:spPr>
        <xdr:txBody>
          <a:bodyPr vertOverflow="clip" wrap="square" lIns="27432" tIns="22860" rIns="27432" bIns="22860" anchor="ctr" upright="1"/>
          <a:lstStyle/>
          <a:p>
            <a:pPr algn="ctr" rtl="1">
              <a:defRPr sz="1000"/>
            </a:pPr>
            <a:r>
              <a:rPr lang="ru-RU" sz="700" b="1" i="0" strike="noStrike">
                <a:solidFill>
                  <a:srgbClr val="0000FF"/>
                </a:solidFill>
                <a:latin typeface="Arial Cyr"/>
              </a:rPr>
              <a:t>введіть   дату</a:t>
            </a:r>
          </a:p>
          <a:p>
            <a:pPr algn="ctr" rtl="1">
              <a:defRPr sz="1000"/>
            </a:pPr>
            <a:r>
              <a:rPr lang="ru-RU" sz="700" b="1" i="0" strike="noStrike">
                <a:solidFill>
                  <a:srgbClr val="0000FF"/>
                </a:solidFill>
                <a:latin typeface="Arial Cyr"/>
              </a:rPr>
              <a:t>договору</a:t>
            </a:r>
          </a:p>
        </xdr:txBody>
      </xdr:sp>
      <xdr:sp macro="" textlink="">
        <xdr:nvSpPr>
          <xdr:cNvPr id="11377" name="AutoShape 207"/>
          <xdr:cNvSpPr>
            <a:spLocks noChangeArrowheads="1"/>
          </xdr:cNvSpPr>
        </xdr:nvSpPr>
        <xdr:spPr bwMode="auto">
          <a:xfrm rot="10800000" flipH="1">
            <a:off x="844" y="9"/>
            <a:ext cx="16" cy="63"/>
          </a:xfrm>
          <a:prstGeom prst="rightArrow">
            <a:avLst>
              <a:gd name="adj1" fmla="val 95657"/>
              <a:gd name="adj2" fmla="val 100000"/>
            </a:avLst>
          </a:prstGeom>
          <a:solidFill>
            <a:srgbClr val="FFFFCC"/>
          </a:solidFill>
          <a:ln w="9525">
            <a:solidFill>
              <a:srgbClr val="0000FF"/>
            </a:solidFill>
            <a:miter lim="800000"/>
            <a:headEnd/>
            <a:tailEnd/>
          </a:ln>
        </xdr:spPr>
      </xdr:sp>
    </xdr:grpSp>
    <xdr:clientData/>
  </xdr:twoCellAnchor>
  <xdr:twoCellAnchor>
    <xdr:from>
      <xdr:col>24</xdr:col>
      <xdr:colOff>552450</xdr:colOff>
      <xdr:row>34</xdr:row>
      <xdr:rowOff>9525</xdr:rowOff>
    </xdr:from>
    <xdr:to>
      <xdr:col>27</xdr:col>
      <xdr:colOff>161925</xdr:colOff>
      <xdr:row>38</xdr:row>
      <xdr:rowOff>9525</xdr:rowOff>
    </xdr:to>
    <xdr:sp macro="[0]!Макрос1" textlink="">
      <xdr:nvSpPr>
        <xdr:cNvPr id="3475" name="AutoShape 210"/>
        <xdr:cNvSpPr>
          <a:spLocks noChangeArrowheads="1"/>
        </xdr:cNvSpPr>
      </xdr:nvSpPr>
      <xdr:spPr bwMode="auto">
        <a:xfrm rot="10800000">
          <a:off x="9334500" y="3733800"/>
          <a:ext cx="1552575" cy="1524000"/>
        </a:xfrm>
        <a:prstGeom prst="roundRect">
          <a:avLst>
            <a:gd name="adj" fmla="val 16667"/>
          </a:avLst>
        </a:prstGeom>
        <a:solidFill>
          <a:srgbClr val="FFFFCC"/>
        </a:solidFill>
        <a:ln w="9525">
          <a:solidFill>
            <a:srgbClr val="0000FF"/>
          </a:solidFill>
          <a:round/>
          <a:headEnd/>
          <a:tailEnd/>
        </a:ln>
        <a:effectLst>
          <a:outerShdw dist="107763" dir="2700000" algn="ctr" rotWithShape="0">
            <a:srgbClr val="808080">
              <a:alpha val="50000"/>
            </a:srgbClr>
          </a:outerShdw>
        </a:effectLst>
      </xdr:spPr>
      <xdr:txBody>
        <a:bodyPr vertOverflow="clip" wrap="square" lIns="27432" tIns="22860" rIns="27432" bIns="22860" anchor="ctr" upright="1"/>
        <a:lstStyle/>
        <a:p>
          <a:pPr algn="ctr" rtl="1">
            <a:defRPr sz="1000"/>
          </a:pPr>
          <a:r>
            <a:rPr lang="ru-RU" sz="1000" b="1" i="0" strike="noStrike">
              <a:solidFill>
                <a:srgbClr val="0000FF"/>
              </a:solidFill>
              <a:latin typeface="Arial Cyr"/>
            </a:rPr>
            <a:t>НАТИСНІТЬ,</a:t>
          </a:r>
          <a:endParaRPr lang="ru-RU" sz="1000" b="0" i="0" strike="noStrike">
            <a:solidFill>
              <a:srgbClr val="0000FF"/>
            </a:solidFill>
            <a:latin typeface="Arial Cyr"/>
          </a:endParaRPr>
        </a:p>
        <a:p>
          <a:pPr algn="ctr" rtl="1">
            <a:defRPr sz="1000"/>
          </a:pPr>
          <a:r>
            <a:rPr lang="ru-RU" sz="1000" b="0" i="0" strike="noStrike">
              <a:solidFill>
                <a:srgbClr val="0000FF"/>
              </a:solidFill>
              <a:latin typeface="Arial Cyr"/>
            </a:rPr>
            <a:t>щоб підготувати до друку</a:t>
          </a: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sheetPr codeName="Лист2" filterMode="1">
    <tabColor indexed="44"/>
    <pageSetUpPr fitToPage="1"/>
  </sheetPr>
  <dimension ref="A1:AY168"/>
  <sheetViews>
    <sheetView showGridLines="0" tabSelected="1" zoomScaleNormal="85" workbookViewId="0">
      <selection activeCell="U6" sqref="U6"/>
    </sheetView>
  </sheetViews>
  <sheetFormatPr defaultRowHeight="12.75"/>
  <cols>
    <col min="1" max="1" width="3.140625" style="6" bestFit="1" customWidth="1"/>
    <col min="2" max="2" width="3" style="6" bestFit="1" customWidth="1"/>
    <col min="3" max="3" width="3" style="6" customWidth="1"/>
    <col min="4" max="4" width="8.140625" style="7" customWidth="1"/>
    <col min="5" max="5" width="10.5703125" style="60" customWidth="1"/>
    <col min="6" max="6" width="10.7109375" style="6" hidden="1" customWidth="1"/>
    <col min="7" max="7" width="10.85546875" style="6" hidden="1" customWidth="1"/>
    <col min="8" max="8" width="10.5703125" style="6" customWidth="1"/>
    <col min="9" max="9" width="10.85546875" style="7" bestFit="1" customWidth="1"/>
    <col min="10" max="10" width="11" style="7" customWidth="1"/>
    <col min="11" max="11" width="12.140625" style="7" customWidth="1"/>
    <col min="12" max="12" width="10.5703125" style="7" customWidth="1"/>
    <col min="13" max="13" width="9.5703125" style="7" customWidth="1"/>
    <col min="14" max="14" width="9" style="7" customWidth="1"/>
    <col min="15" max="15" width="9.7109375" style="7" customWidth="1"/>
    <col min="16" max="16" width="4.28515625" style="6" customWidth="1"/>
    <col min="17" max="17" width="9.140625" style="6" customWidth="1"/>
    <col min="18" max="18" width="8.42578125" style="6" customWidth="1"/>
    <col min="19" max="19" width="8" style="6" customWidth="1"/>
    <col min="20" max="20" width="6.7109375" style="6" customWidth="1"/>
    <col min="21" max="21" width="5.7109375" style="6" customWidth="1"/>
    <col min="22" max="22" width="10.5703125" style="7" customWidth="1"/>
    <col min="23" max="23" width="9.7109375" style="7" customWidth="1"/>
    <col min="24" max="24" width="7.140625" style="6" customWidth="1"/>
    <col min="25" max="25" width="8.85546875" style="6" customWidth="1"/>
    <col min="26" max="26" width="11.42578125" style="6" customWidth="1"/>
    <col min="27" max="28" width="8.85546875" style="6" customWidth="1"/>
    <col min="29" max="33" width="8.85546875" style="6" hidden="1" customWidth="1"/>
    <col min="34" max="51" width="8.85546875" style="6" customWidth="1"/>
    <col min="52" max="16384" width="9.140625" style="7"/>
  </cols>
  <sheetData>
    <row r="1" spans="4:32" ht="18" customHeight="1">
      <c r="D1" s="6"/>
      <c r="E1" s="55"/>
      <c r="I1" s="6"/>
      <c r="J1" s="6"/>
      <c r="K1" s="6"/>
      <c r="L1" s="6"/>
      <c r="M1" s="6"/>
      <c r="N1" s="6"/>
      <c r="O1" s="6"/>
      <c r="V1" s="6"/>
      <c r="W1" s="6"/>
    </row>
    <row r="2" spans="4:32" ht="18" customHeight="1">
      <c r="D2" s="104"/>
      <c r="E2" s="105"/>
      <c r="H2" s="104"/>
      <c r="I2" s="104"/>
      <c r="J2" s="104"/>
      <c r="K2" s="104"/>
      <c r="L2" s="115" t="s">
        <v>58</v>
      </c>
      <c r="M2" s="104"/>
      <c r="N2" s="104"/>
      <c r="O2" s="104"/>
      <c r="P2" s="104"/>
      <c r="Q2" s="104"/>
      <c r="R2" s="104"/>
      <c r="S2" s="104"/>
      <c r="T2" s="104"/>
      <c r="U2" s="104"/>
      <c r="V2" s="104"/>
      <c r="W2" s="104"/>
    </row>
    <row r="3" spans="4:32" ht="18" customHeight="1">
      <c r="D3" s="104"/>
      <c r="E3" s="105"/>
      <c r="H3" s="104"/>
      <c r="I3" s="104"/>
      <c r="J3" s="104"/>
      <c r="K3" s="104"/>
      <c r="L3" s="114"/>
      <c r="M3" s="114" t="s">
        <v>61</v>
      </c>
      <c r="N3" s="104"/>
      <c r="O3" s="104"/>
      <c r="P3" s="104"/>
      <c r="Q3" s="104"/>
      <c r="R3" s="104"/>
      <c r="S3" s="104"/>
      <c r="T3" s="104"/>
      <c r="U3" s="104"/>
      <c r="V3" s="104"/>
      <c r="W3" s="104"/>
    </row>
    <row r="4" spans="4:32" ht="18" customHeight="1">
      <c r="D4" s="104"/>
      <c r="E4" s="105"/>
      <c r="H4" s="104"/>
      <c r="I4" s="104"/>
      <c r="J4" s="104"/>
      <c r="K4" s="104"/>
      <c r="L4" s="103"/>
      <c r="M4" s="104"/>
      <c r="N4" s="104"/>
      <c r="O4" s="104"/>
      <c r="P4" s="104"/>
      <c r="Q4" s="104"/>
      <c r="R4" s="104"/>
      <c r="S4" s="104"/>
      <c r="T4" s="104"/>
      <c r="U4" s="104"/>
      <c r="V4" s="104"/>
      <c r="W4" s="104"/>
    </row>
    <row r="5" spans="4:32" ht="18" customHeight="1">
      <c r="D5" s="106"/>
      <c r="E5" s="107" t="s">
        <v>59</v>
      </c>
      <c r="F5" s="108"/>
      <c r="G5" s="108"/>
      <c r="H5" s="111"/>
      <c r="I5" s="112"/>
      <c r="J5" s="113"/>
      <c r="K5" s="111"/>
      <c r="L5" s="111"/>
      <c r="M5" s="104"/>
      <c r="N5" s="104"/>
      <c r="O5" s="104"/>
      <c r="P5" s="104"/>
      <c r="Q5" s="104"/>
      <c r="R5" s="104"/>
      <c r="S5" s="104"/>
      <c r="T5" s="104"/>
      <c r="U5" s="104"/>
      <c r="V5" s="104"/>
      <c r="W5" s="104"/>
    </row>
    <row r="6" spans="4:32" ht="21.95" customHeight="1">
      <c r="D6" s="109" t="s">
        <v>60</v>
      </c>
      <c r="E6" s="110"/>
      <c r="F6" s="111"/>
      <c r="G6" s="108"/>
      <c r="H6" s="111"/>
      <c r="I6" s="112"/>
      <c r="J6" s="113"/>
      <c r="K6" s="111"/>
      <c r="L6" s="111"/>
      <c r="M6" s="68"/>
      <c r="N6" s="68"/>
      <c r="O6" s="68"/>
      <c r="P6" s="68"/>
      <c r="Q6" s="68"/>
      <c r="R6" s="68"/>
      <c r="S6" s="68"/>
      <c r="T6" s="68"/>
      <c r="U6" s="68"/>
      <c r="V6" s="68"/>
      <c r="W6" s="68"/>
      <c r="X6" s="10"/>
    </row>
    <row r="7" spans="4:32" ht="12.95" hidden="1" customHeight="1">
      <c r="D7" s="138" t="s">
        <v>13</v>
      </c>
      <c r="E7" s="131"/>
      <c r="F7" s="13"/>
      <c r="G7" s="13"/>
      <c r="H7" s="85"/>
      <c r="I7" s="69"/>
      <c r="J7" s="68"/>
      <c r="K7" s="72">
        <f ca="1">TODAY()</f>
        <v>44729</v>
      </c>
      <c r="L7" s="73"/>
      <c r="M7" s="68"/>
      <c r="N7" s="68"/>
      <c r="O7" s="68"/>
      <c r="P7" s="68"/>
      <c r="Q7" s="68"/>
      <c r="R7" s="68"/>
      <c r="S7" s="68"/>
      <c r="T7" s="68"/>
      <c r="U7" s="68"/>
      <c r="V7" s="68"/>
      <c r="W7" s="68"/>
      <c r="X7" s="10"/>
      <c r="AC7" s="6">
        <f ca="1">YEAR(K11)</f>
        <v>2023</v>
      </c>
      <c r="AD7" s="6">
        <f ca="1">YEAR(K7)</f>
        <v>2022</v>
      </c>
      <c r="AE7" s="6">
        <f ca="1">MONTH(K11)</f>
        <v>6</v>
      </c>
      <c r="AF7" s="6">
        <f ca="1">MONTH(K7)</f>
        <v>6</v>
      </c>
    </row>
    <row r="8" spans="4:32" ht="12.95" hidden="1" customHeight="1">
      <c r="D8" s="69" t="s">
        <v>47</v>
      </c>
      <c r="E8" s="70"/>
      <c r="F8" s="13"/>
      <c r="G8" s="13"/>
      <c r="H8" s="85"/>
      <c r="I8" s="69"/>
      <c r="J8" s="68"/>
      <c r="K8" s="74">
        <v>0</v>
      </c>
      <c r="L8" s="73"/>
      <c r="M8" s="68"/>
      <c r="N8" s="68"/>
      <c r="O8" s="68"/>
      <c r="P8" s="68"/>
      <c r="Q8" s="68"/>
      <c r="R8" s="68"/>
      <c r="S8" s="68"/>
      <c r="T8" s="68"/>
      <c r="U8" s="68"/>
      <c r="V8" s="68"/>
      <c r="W8" s="68"/>
      <c r="X8" s="10"/>
    </row>
    <row r="9" spans="4:32" ht="12.75" customHeight="1">
      <c r="D9" s="138" t="s">
        <v>63</v>
      </c>
      <c r="E9" s="131"/>
      <c r="F9" s="13"/>
      <c r="G9" s="13"/>
      <c r="H9" s="85"/>
      <c r="I9" s="69"/>
      <c r="J9" s="68"/>
      <c r="K9" s="116">
        <v>10000</v>
      </c>
      <c r="L9" s="121" t="s">
        <v>62</v>
      </c>
      <c r="M9" s="68"/>
      <c r="N9" s="68"/>
      <c r="O9" s="68"/>
      <c r="P9" s="68"/>
      <c r="Q9" s="68"/>
      <c r="R9" s="68"/>
      <c r="S9" s="68"/>
      <c r="T9" s="68"/>
      <c r="U9" s="68"/>
      <c r="V9" s="68"/>
      <c r="W9" s="68"/>
      <c r="X9" s="10"/>
    </row>
    <row r="10" spans="4:32" ht="12.95" customHeight="1">
      <c r="D10" s="69" t="s">
        <v>41</v>
      </c>
      <c r="E10" s="70"/>
      <c r="F10" s="13"/>
      <c r="G10" s="13"/>
      <c r="H10" s="85"/>
      <c r="I10" s="69"/>
      <c r="J10" s="68"/>
      <c r="K10" s="117">
        <v>12</v>
      </c>
      <c r="L10" s="75"/>
      <c r="M10" s="68"/>
      <c r="N10" s="68"/>
      <c r="O10" s="68"/>
      <c r="P10" s="68"/>
      <c r="Q10" s="68"/>
      <c r="R10" s="68"/>
      <c r="S10" s="68"/>
      <c r="T10" s="68"/>
      <c r="U10" s="68"/>
      <c r="V10" s="68"/>
      <c r="W10" s="68"/>
      <c r="X10" s="10"/>
    </row>
    <row r="11" spans="4:32" ht="12" hidden="1" customHeight="1">
      <c r="D11" s="131" t="s">
        <v>14</v>
      </c>
      <c r="E11" s="131"/>
      <c r="F11" s="132"/>
      <c r="G11" s="132"/>
      <c r="H11" s="132"/>
      <c r="I11" s="131"/>
      <c r="J11" s="131"/>
      <c r="K11" s="72">
        <f ca="1">K7+((K10/12)*365)-1</f>
        <v>45093</v>
      </c>
      <c r="L11" s="68"/>
      <c r="M11" s="68"/>
      <c r="N11" s="68"/>
      <c r="O11" s="68"/>
      <c r="P11" s="68"/>
      <c r="Q11" s="68"/>
      <c r="R11" s="68"/>
      <c r="S11" s="68"/>
      <c r="T11" s="68"/>
      <c r="U11" s="68"/>
      <c r="V11" s="68"/>
      <c r="W11" s="68"/>
      <c r="X11" s="10"/>
      <c r="Z11" s="15"/>
      <c r="AC11" s="6">
        <f ca="1">AC7-AD7</f>
        <v>1</v>
      </c>
      <c r="AE11" s="6">
        <f ca="1">AE7-AF7</f>
        <v>0</v>
      </c>
    </row>
    <row r="12" spans="4:32" ht="12.95" hidden="1" customHeight="1">
      <c r="D12" s="131" t="s">
        <v>15</v>
      </c>
      <c r="E12" s="131"/>
      <c r="F12" s="132"/>
      <c r="G12" s="132"/>
      <c r="H12" s="132"/>
      <c r="I12" s="131"/>
      <c r="J12" s="131"/>
      <c r="K12" s="68" t="s">
        <v>2</v>
      </c>
      <c r="L12" s="76">
        <f>CEILING(K9/K10,1)*0</f>
        <v>0</v>
      </c>
      <c r="M12" s="142" t="s">
        <v>4</v>
      </c>
      <c r="N12" s="143"/>
      <c r="O12" s="76">
        <f>K9-(L12*(K10-1))</f>
        <v>10000</v>
      </c>
      <c r="P12" s="68"/>
      <c r="Q12" s="68"/>
      <c r="R12" s="68"/>
      <c r="S12" s="68"/>
      <c r="T12" s="68"/>
      <c r="U12" s="68"/>
      <c r="V12" s="68"/>
      <c r="W12" s="68"/>
      <c r="X12" s="10"/>
      <c r="Z12" s="15"/>
      <c r="AA12" s="15"/>
    </row>
    <row r="13" spans="4:32" ht="12.95" customHeight="1">
      <c r="D13" s="138" t="s">
        <v>16</v>
      </c>
      <c r="E13" s="131"/>
      <c r="F13" s="132"/>
      <c r="G13" s="132"/>
      <c r="H13" s="132"/>
      <c r="I13" s="131"/>
      <c r="J13" s="131"/>
      <c r="K13" s="118" t="s">
        <v>9</v>
      </c>
      <c r="L13" s="77">
        <v>5</v>
      </c>
      <c r="M13" s="68" t="s">
        <v>10</v>
      </c>
      <c r="N13" s="68"/>
      <c r="O13" s="68"/>
      <c r="P13" s="68"/>
      <c r="Q13" s="68"/>
      <c r="R13" s="68"/>
      <c r="S13" s="68"/>
      <c r="T13" s="68"/>
      <c r="U13" s="68"/>
      <c r="V13" s="68"/>
      <c r="W13" s="68"/>
      <c r="X13" s="10"/>
      <c r="AE13" s="6">
        <f ca="1">12+AE11</f>
        <v>12</v>
      </c>
    </row>
    <row r="14" spans="4:32" ht="12.95" customHeight="1">
      <c r="D14" s="131" t="s">
        <v>17</v>
      </c>
      <c r="E14" s="131"/>
      <c r="F14" s="132"/>
      <c r="G14" s="132"/>
      <c r="H14" s="132"/>
      <c r="I14" s="131"/>
      <c r="J14" s="131"/>
      <c r="K14" s="119">
        <v>0.31</v>
      </c>
      <c r="L14" s="68" t="s">
        <v>18</v>
      </c>
      <c r="M14" s="68"/>
      <c r="N14" s="68"/>
      <c r="O14" s="68"/>
      <c r="P14" s="68"/>
      <c r="Q14" s="68"/>
      <c r="R14" s="68"/>
      <c r="S14" s="68"/>
      <c r="T14" s="68"/>
      <c r="U14" s="68"/>
      <c r="V14" s="68"/>
      <c r="W14" s="68"/>
      <c r="X14" s="10"/>
      <c r="AE14" s="6">
        <f ca="1">24+AE11</f>
        <v>24</v>
      </c>
    </row>
    <row r="15" spans="4:32" hidden="1">
      <c r="D15" s="131"/>
      <c r="E15" s="131"/>
      <c r="F15" s="132"/>
      <c r="G15" s="132"/>
      <c r="H15" s="132"/>
      <c r="I15" s="131"/>
      <c r="J15" s="131"/>
      <c r="K15" s="68"/>
      <c r="L15" s="68"/>
      <c r="M15" s="68"/>
      <c r="N15" s="68"/>
      <c r="O15" s="68"/>
      <c r="P15" s="68"/>
      <c r="Q15" s="68"/>
      <c r="R15" s="68"/>
      <c r="S15" s="68"/>
      <c r="T15" s="68"/>
      <c r="U15" s="68"/>
      <c r="V15" s="68"/>
      <c r="W15" s="68"/>
      <c r="X15" s="10"/>
      <c r="AE15" s="6">
        <f ca="1">36+AE11</f>
        <v>36</v>
      </c>
    </row>
    <row r="16" spans="4:32" ht="12.95" hidden="1" customHeight="1">
      <c r="D16" s="149" t="s">
        <v>12</v>
      </c>
      <c r="E16" s="131"/>
      <c r="F16" s="132"/>
      <c r="G16" s="132"/>
      <c r="H16" s="132"/>
      <c r="I16" s="131"/>
      <c r="J16" s="131"/>
      <c r="K16" s="78"/>
      <c r="L16" s="68"/>
      <c r="M16" s="68"/>
      <c r="N16" s="68"/>
      <c r="O16" s="68"/>
      <c r="P16" s="68"/>
      <c r="Q16" s="68"/>
      <c r="R16" s="68"/>
      <c r="S16" s="68"/>
      <c r="T16" s="68"/>
      <c r="U16" s="68"/>
      <c r="V16" s="68"/>
      <c r="W16" s="68"/>
      <c r="X16" s="10"/>
    </row>
    <row r="17" spans="1:51" ht="12.75" hidden="1" customHeight="1">
      <c r="D17" s="130" t="s">
        <v>19</v>
      </c>
      <c r="E17" s="131"/>
      <c r="F17" s="132"/>
      <c r="G17" s="132"/>
      <c r="H17" s="132"/>
      <c r="I17" s="131"/>
      <c r="J17" s="79"/>
      <c r="K17" s="80">
        <v>0</v>
      </c>
      <c r="L17" s="69" t="s">
        <v>11</v>
      </c>
      <c r="M17" s="70"/>
      <c r="N17" s="68"/>
      <c r="O17" s="81"/>
      <c r="P17" s="68"/>
      <c r="Q17" s="68"/>
      <c r="R17" s="68"/>
      <c r="S17" s="68"/>
      <c r="T17" s="68"/>
      <c r="U17" s="68"/>
      <c r="V17" s="68"/>
      <c r="W17" s="68"/>
      <c r="X17" s="10"/>
      <c r="AD17" s="6">
        <f ca="1">IF(AC11=0,AE11,IF(AC11=1,AE13,IF(AC11=2,AE14,AE15)))</f>
        <v>12</v>
      </c>
    </row>
    <row r="18" spans="1:51" ht="12.75" customHeight="1">
      <c r="D18" s="95" t="s">
        <v>56</v>
      </c>
      <c r="E18" s="70"/>
      <c r="F18" s="14"/>
      <c r="G18" s="14"/>
      <c r="H18" s="84"/>
      <c r="I18" s="70"/>
      <c r="J18" s="79"/>
      <c r="K18" s="120">
        <v>0.01</v>
      </c>
      <c r="L18" s="97" t="s">
        <v>57</v>
      </c>
      <c r="M18" s="96"/>
      <c r="N18" s="68"/>
      <c r="O18" s="102">
        <f>K9*K18</f>
        <v>100</v>
      </c>
      <c r="P18" s="68"/>
      <c r="Q18" s="68"/>
      <c r="R18" s="68"/>
      <c r="S18" s="68"/>
      <c r="T18" s="68"/>
      <c r="U18" s="68"/>
      <c r="V18" s="68"/>
      <c r="W18" s="68"/>
      <c r="X18" s="10"/>
    </row>
    <row r="19" spans="1:51" ht="12.75" hidden="1" customHeight="1">
      <c r="D19" s="71" t="s">
        <v>48</v>
      </c>
      <c r="E19" s="70"/>
      <c r="F19" s="14"/>
      <c r="G19" s="14"/>
      <c r="H19" s="84"/>
      <c r="I19" s="70"/>
      <c r="J19" s="79"/>
      <c r="K19" s="80">
        <v>0</v>
      </c>
      <c r="L19" s="69" t="s">
        <v>11</v>
      </c>
      <c r="M19" s="70"/>
      <c r="N19" s="68"/>
      <c r="O19" s="81"/>
      <c r="P19" s="68"/>
      <c r="Q19" s="68"/>
      <c r="R19" s="68"/>
      <c r="S19" s="68"/>
      <c r="T19" s="68"/>
      <c r="U19" s="68"/>
      <c r="V19" s="68"/>
      <c r="W19" s="68"/>
      <c r="X19" s="10"/>
    </row>
    <row r="20" spans="1:51" ht="12.75" hidden="1" customHeight="1">
      <c r="D20" s="71" t="s">
        <v>31</v>
      </c>
      <c r="E20" s="70"/>
      <c r="F20" s="14"/>
      <c r="G20" s="14"/>
      <c r="H20" s="84"/>
      <c r="I20" s="70"/>
      <c r="J20" s="79"/>
      <c r="K20" s="82">
        <v>0</v>
      </c>
      <c r="L20" s="69" t="s">
        <v>45</v>
      </c>
      <c r="M20" s="70"/>
      <c r="N20" s="68"/>
      <c r="O20" s="81"/>
      <c r="P20" s="68"/>
      <c r="Q20" s="68"/>
      <c r="R20" s="68"/>
      <c r="S20" s="68"/>
      <c r="T20" s="68"/>
      <c r="U20" s="68"/>
      <c r="V20" s="68"/>
      <c r="W20" s="68"/>
      <c r="X20" s="10"/>
    </row>
    <row r="21" spans="1:51" ht="12.75" hidden="1" customHeight="1">
      <c r="D21" s="71" t="s">
        <v>32</v>
      </c>
      <c r="E21" s="70"/>
      <c r="F21" s="14"/>
      <c r="G21" s="14"/>
      <c r="H21" s="84"/>
      <c r="I21" s="70"/>
      <c r="J21" s="79"/>
      <c r="K21" s="82">
        <v>0</v>
      </c>
      <c r="L21" s="69" t="s">
        <v>45</v>
      </c>
      <c r="M21" s="70"/>
      <c r="N21" s="68"/>
      <c r="O21" s="81"/>
      <c r="P21" s="68"/>
      <c r="Q21" s="68"/>
      <c r="R21" s="68"/>
      <c r="S21" s="68"/>
      <c r="T21" s="68"/>
      <c r="U21" s="68"/>
      <c r="V21" s="68"/>
      <c r="W21" s="68"/>
      <c r="X21" s="10"/>
    </row>
    <row r="22" spans="1:51" ht="12.75" hidden="1" customHeight="1">
      <c r="D22" s="71" t="s">
        <v>33</v>
      </c>
      <c r="E22" s="70"/>
      <c r="F22" s="14"/>
      <c r="G22" s="14"/>
      <c r="H22" s="84"/>
      <c r="I22" s="70"/>
      <c r="J22" s="79"/>
      <c r="K22" s="80">
        <v>0</v>
      </c>
      <c r="L22" s="69" t="s">
        <v>44</v>
      </c>
      <c r="M22" s="70"/>
      <c r="N22" s="68"/>
      <c r="O22" s="81"/>
      <c r="P22" s="68"/>
      <c r="Q22" s="68"/>
      <c r="R22" s="68"/>
      <c r="S22" s="68"/>
      <c r="T22" s="68"/>
      <c r="U22" s="68"/>
      <c r="V22" s="68"/>
      <c r="W22" s="68"/>
      <c r="X22" s="10"/>
    </row>
    <row r="23" spans="1:51" ht="12.75" hidden="1" customHeight="1">
      <c r="D23" s="71" t="s">
        <v>42</v>
      </c>
      <c r="E23" s="70"/>
      <c r="F23" s="14"/>
      <c r="G23" s="14"/>
      <c r="H23" s="84"/>
      <c r="I23" s="70"/>
      <c r="J23" s="79"/>
      <c r="K23" s="80">
        <v>0</v>
      </c>
      <c r="L23" s="69" t="s">
        <v>46</v>
      </c>
      <c r="M23" s="70"/>
      <c r="N23" s="68"/>
      <c r="O23" s="81"/>
      <c r="P23" s="68"/>
      <c r="Q23" s="68"/>
      <c r="R23" s="68"/>
      <c r="S23" s="68"/>
      <c r="T23" s="68"/>
      <c r="U23" s="68"/>
      <c r="V23" s="68"/>
      <c r="W23" s="68"/>
      <c r="X23" s="10"/>
    </row>
    <row r="24" spans="1:51" ht="12.75" hidden="1" customHeight="1">
      <c r="D24" s="71" t="s">
        <v>43</v>
      </c>
      <c r="E24" s="70"/>
      <c r="F24" s="14"/>
      <c r="G24" s="14"/>
      <c r="H24" s="84"/>
      <c r="I24" s="70"/>
      <c r="J24" s="79"/>
      <c r="K24" s="80">
        <v>0</v>
      </c>
      <c r="L24" s="69" t="s">
        <v>46</v>
      </c>
      <c r="M24" s="70"/>
      <c r="N24" s="68"/>
      <c r="O24" s="81"/>
      <c r="P24" s="68"/>
      <c r="Q24" s="68"/>
      <c r="R24" s="68"/>
      <c r="S24" s="68"/>
      <c r="T24" s="68"/>
      <c r="U24" s="68"/>
      <c r="V24" s="68"/>
      <c r="W24" s="68"/>
      <c r="X24" s="10"/>
    </row>
    <row r="25" spans="1:51" ht="12.75" customHeight="1">
      <c r="D25" s="71"/>
      <c r="E25" s="70"/>
      <c r="F25" s="14"/>
      <c r="G25" s="14"/>
      <c r="H25" s="84"/>
      <c r="I25" s="70"/>
      <c r="J25" s="79"/>
      <c r="K25" s="83"/>
      <c r="L25" s="69"/>
      <c r="M25" s="70"/>
      <c r="N25" s="68"/>
      <c r="O25" s="81"/>
      <c r="P25" s="68"/>
      <c r="Q25" s="68"/>
      <c r="R25" s="68"/>
      <c r="S25" s="68"/>
      <c r="T25" s="68"/>
      <c r="U25" s="68"/>
      <c r="V25" s="68"/>
      <c r="W25" s="68"/>
      <c r="X25" s="10"/>
    </row>
    <row r="26" spans="1:51" ht="20.100000000000001" customHeight="1">
      <c r="D26" s="21"/>
      <c r="E26" s="56"/>
      <c r="F26" s="14"/>
      <c r="G26" s="14"/>
      <c r="H26" s="14"/>
      <c r="I26" s="22"/>
      <c r="J26" s="23"/>
      <c r="K26" s="24"/>
      <c r="L26" s="13"/>
      <c r="M26" s="22"/>
      <c r="N26" s="10"/>
      <c r="O26" s="25"/>
      <c r="P26" s="10"/>
      <c r="Q26" s="10"/>
      <c r="R26" s="10"/>
      <c r="S26" s="10"/>
      <c r="T26" s="10"/>
      <c r="U26" s="10"/>
      <c r="V26" s="10"/>
      <c r="W26" s="10"/>
      <c r="X26" s="10"/>
    </row>
    <row r="27" spans="1:51" s="9" customFormat="1" ht="15.75" customHeight="1">
      <c r="A27" s="10"/>
      <c r="B27" s="10"/>
      <c r="C27" s="10"/>
      <c r="D27" s="17"/>
      <c r="E27" s="16"/>
      <c r="F27" s="22"/>
      <c r="G27" s="22"/>
      <c r="H27" s="8"/>
      <c r="I27" s="8"/>
      <c r="J27" s="18"/>
      <c r="K27" s="19"/>
      <c r="L27" s="12"/>
      <c r="M27" s="8"/>
      <c r="O27" s="20"/>
      <c r="P27" s="11"/>
      <c r="Q27" s="11"/>
      <c r="R27" s="11"/>
      <c r="S27" s="11"/>
      <c r="T27" s="11"/>
      <c r="U27" s="101" t="s">
        <v>55</v>
      </c>
      <c r="V27" s="128" t="str">
        <f ca="1">TEXT(K7,"DD.MM.YYYY")&amp;" р."</f>
        <v>17.06.2022 р.</v>
      </c>
      <c r="W27" s="128"/>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row>
    <row r="28" spans="1:51" s="9" customFormat="1" ht="12.95" customHeight="1">
      <c r="A28" s="10"/>
      <c r="B28" s="10"/>
      <c r="C28" s="10"/>
      <c r="D28" s="17"/>
      <c r="E28" s="16"/>
      <c r="F28" s="22"/>
      <c r="G28" s="22"/>
      <c r="H28" s="8"/>
      <c r="I28" s="8"/>
      <c r="J28" s="18"/>
      <c r="K28" s="19"/>
      <c r="L28" s="12"/>
      <c r="M28" s="8"/>
      <c r="O28" s="20"/>
      <c r="P28" s="11"/>
      <c r="Q28" s="11"/>
      <c r="R28" s="11"/>
      <c r="S28" s="11"/>
      <c r="T28" s="11"/>
      <c r="U28" s="11"/>
      <c r="V28" s="129"/>
      <c r="W28" s="129"/>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row>
    <row r="29" spans="1:51" s="9" customFormat="1" ht="12.75" customHeight="1">
      <c r="A29" s="10"/>
      <c r="B29" s="10"/>
      <c r="C29" s="10"/>
      <c r="D29" s="17"/>
      <c r="E29" s="16"/>
      <c r="F29" s="22"/>
      <c r="G29" s="22"/>
      <c r="H29" s="8"/>
      <c r="I29" s="8"/>
      <c r="J29" s="18"/>
      <c r="K29" s="19"/>
      <c r="L29" s="12"/>
      <c r="M29" s="8"/>
      <c r="O29" s="20"/>
      <c r="P29" s="11"/>
      <c r="Q29" s="11"/>
      <c r="R29" s="11"/>
      <c r="S29" s="11"/>
      <c r="T29" s="11"/>
      <c r="U29" s="11"/>
      <c r="V29" s="67"/>
      <c r="W29" s="26"/>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row>
    <row r="30" spans="1:51" s="9" customFormat="1" ht="42" customHeight="1">
      <c r="A30" s="10"/>
      <c r="B30" s="10"/>
      <c r="C30" s="10"/>
      <c r="D30" s="125" t="s">
        <v>20</v>
      </c>
      <c r="E30" s="126"/>
      <c r="F30" s="127"/>
      <c r="G30" s="127"/>
      <c r="H30" s="127"/>
      <c r="I30" s="126"/>
      <c r="J30" s="126"/>
      <c r="K30" s="126"/>
      <c r="L30" s="126"/>
      <c r="M30" s="126"/>
      <c r="N30" s="126"/>
      <c r="O30" s="126"/>
      <c r="P30" s="127"/>
      <c r="Q30" s="127"/>
      <c r="R30" s="127"/>
      <c r="S30" s="127"/>
      <c r="T30" s="127"/>
      <c r="U30" s="127"/>
      <c r="V30" s="126"/>
      <c r="W30" s="126"/>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row>
    <row r="31" spans="1:51" s="9" customFormat="1" ht="12.95" customHeight="1">
      <c r="A31" s="10"/>
      <c r="B31" s="10"/>
      <c r="C31" s="10"/>
      <c r="E31" s="57"/>
      <c r="F31" s="27"/>
      <c r="G31" s="27"/>
      <c r="P31" s="11"/>
      <c r="Q31" s="11"/>
      <c r="R31" s="11"/>
      <c r="S31" s="11"/>
      <c r="T31" s="11"/>
      <c r="U31" s="11"/>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row>
    <row r="32" spans="1:51" s="9" customFormat="1" ht="15" customHeight="1">
      <c r="A32" s="10"/>
      <c r="B32" s="10"/>
      <c r="C32" s="10"/>
      <c r="D32" s="122" t="s">
        <v>5</v>
      </c>
      <c r="E32" s="134" t="s">
        <v>21</v>
      </c>
      <c r="F32" s="51"/>
      <c r="G32" s="51"/>
      <c r="H32" s="144" t="s">
        <v>6</v>
      </c>
      <c r="I32" s="133" t="s">
        <v>22</v>
      </c>
      <c r="J32" s="139" t="s">
        <v>23</v>
      </c>
      <c r="K32" s="140"/>
      <c r="L32" s="140"/>
      <c r="M32" s="140"/>
      <c r="N32" s="140"/>
      <c r="O32" s="140"/>
      <c r="P32" s="140"/>
      <c r="Q32" s="140"/>
      <c r="R32" s="140"/>
      <c r="S32" s="140"/>
      <c r="T32" s="140"/>
      <c r="U32" s="141"/>
      <c r="V32" s="122" t="s">
        <v>35</v>
      </c>
      <c r="W32" s="122" t="s">
        <v>36</v>
      </c>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row>
    <row r="33" spans="1:51" s="9" customFormat="1" ht="12.75" customHeight="1">
      <c r="A33" s="10"/>
      <c r="B33" s="10"/>
      <c r="C33" s="10"/>
      <c r="D33" s="123"/>
      <c r="E33" s="134"/>
      <c r="F33" s="52"/>
      <c r="G33" s="52"/>
      <c r="H33" s="145"/>
      <c r="I33" s="133"/>
      <c r="J33" s="133" t="s">
        <v>24</v>
      </c>
      <c r="K33" s="133" t="s">
        <v>25</v>
      </c>
      <c r="L33" s="147" t="s">
        <v>26</v>
      </c>
      <c r="M33" s="148"/>
      <c r="N33" s="148"/>
      <c r="O33" s="148"/>
      <c r="P33" s="148"/>
      <c r="Q33" s="148"/>
      <c r="R33" s="148"/>
      <c r="S33" s="148"/>
      <c r="T33" s="148"/>
      <c r="U33" s="144"/>
      <c r="V33" s="123"/>
      <c r="W33" s="123"/>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row>
    <row r="34" spans="1:51" s="9" customFormat="1" ht="42.75" customHeight="1">
      <c r="A34" s="10"/>
      <c r="B34" s="10"/>
      <c r="C34" s="10"/>
      <c r="D34" s="123"/>
      <c r="E34" s="134"/>
      <c r="F34" s="52"/>
      <c r="G34" s="52"/>
      <c r="H34" s="145"/>
      <c r="I34" s="133"/>
      <c r="J34" s="133"/>
      <c r="K34" s="133"/>
      <c r="L34" s="150" t="s">
        <v>29</v>
      </c>
      <c r="M34" s="151"/>
      <c r="N34" s="151"/>
      <c r="O34" s="151"/>
      <c r="P34" s="135" t="s">
        <v>30</v>
      </c>
      <c r="Q34" s="137"/>
      <c r="R34" s="135" t="s">
        <v>34</v>
      </c>
      <c r="S34" s="136"/>
      <c r="T34" s="136"/>
      <c r="U34" s="137"/>
      <c r="V34" s="123"/>
      <c r="W34" s="123"/>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row>
    <row r="35" spans="1:51" s="9" customFormat="1" ht="95.25" customHeight="1">
      <c r="A35" s="28" t="s">
        <v>3</v>
      </c>
      <c r="B35" s="10"/>
      <c r="C35" s="10"/>
      <c r="D35" s="123"/>
      <c r="E35" s="134"/>
      <c r="F35" s="52"/>
      <c r="G35" s="52"/>
      <c r="H35" s="146"/>
      <c r="I35" s="133"/>
      <c r="J35" s="133"/>
      <c r="K35" s="133"/>
      <c r="L35" s="53" t="s">
        <v>38</v>
      </c>
      <c r="M35" s="54" t="s">
        <v>27</v>
      </c>
      <c r="N35" s="54" t="s">
        <v>39</v>
      </c>
      <c r="O35" s="54" t="s">
        <v>28</v>
      </c>
      <c r="P35" s="62" t="s">
        <v>7</v>
      </c>
      <c r="Q35" s="62" t="s">
        <v>8</v>
      </c>
      <c r="R35" s="62" t="s">
        <v>31</v>
      </c>
      <c r="S35" s="62" t="s">
        <v>32</v>
      </c>
      <c r="T35" s="62" t="s">
        <v>33</v>
      </c>
      <c r="U35" s="62" t="s">
        <v>37</v>
      </c>
      <c r="V35" s="124"/>
      <c r="W35" s="124"/>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row>
    <row r="36" spans="1:51" s="9" customFormat="1" ht="12">
      <c r="A36" s="10"/>
      <c r="B36" s="10"/>
      <c r="C36" s="10"/>
      <c r="D36" s="29">
        <v>1</v>
      </c>
      <c r="E36" s="30">
        <v>2</v>
      </c>
      <c r="F36" s="30">
        <v>4</v>
      </c>
      <c r="G36" s="30">
        <v>5</v>
      </c>
      <c r="H36" s="30">
        <v>3</v>
      </c>
      <c r="I36" s="30">
        <v>4</v>
      </c>
      <c r="J36" s="30">
        <v>5</v>
      </c>
      <c r="K36" s="30">
        <v>6</v>
      </c>
      <c r="L36" s="30">
        <v>7</v>
      </c>
      <c r="M36" s="30">
        <v>8</v>
      </c>
      <c r="N36" s="30">
        <v>9</v>
      </c>
      <c r="O36" s="30">
        <v>10</v>
      </c>
      <c r="P36" s="30">
        <v>11</v>
      </c>
      <c r="Q36" s="30">
        <v>12</v>
      </c>
      <c r="R36" s="30">
        <v>13</v>
      </c>
      <c r="S36" s="30">
        <v>14</v>
      </c>
      <c r="T36" s="30">
        <v>15</v>
      </c>
      <c r="U36" s="30">
        <v>16</v>
      </c>
      <c r="V36" s="30">
        <v>17</v>
      </c>
      <c r="W36" s="30">
        <v>18</v>
      </c>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row>
    <row r="37" spans="1:51" s="9" customFormat="1" ht="12.95" customHeight="1">
      <c r="A37" s="31">
        <f ca="1">IF(B37&lt;=$K$11,1,0)</f>
        <v>1</v>
      </c>
      <c r="B37" s="10"/>
      <c r="C37" s="10"/>
      <c r="D37" s="32">
        <v>1</v>
      </c>
      <c r="E37" s="58">
        <f ca="1">K7</f>
        <v>44729</v>
      </c>
      <c r="F37" s="34"/>
      <c r="G37" s="34"/>
      <c r="H37" s="33" t="s">
        <v>0</v>
      </c>
      <c r="I37" s="35">
        <f>SUM(J37:U37)</f>
        <v>-10000</v>
      </c>
      <c r="J37" s="35">
        <f>-K9</f>
        <v>-10000</v>
      </c>
      <c r="K37" s="36" t="s">
        <v>0</v>
      </c>
      <c r="L37" s="37"/>
      <c r="M37" s="38"/>
      <c r="N37" s="38">
        <f>K9*K17</f>
        <v>0</v>
      </c>
      <c r="O37" s="39">
        <f>K9*K19</f>
        <v>0</v>
      </c>
      <c r="P37" s="40"/>
      <c r="Q37" s="40"/>
      <c r="R37" s="40">
        <f>K20+(K23*K8)+(K24*K8)</f>
        <v>0</v>
      </c>
      <c r="S37" s="40">
        <f>K21</f>
        <v>0</v>
      </c>
      <c r="T37" s="40">
        <f>K8*K22</f>
        <v>0</v>
      </c>
      <c r="U37" s="40"/>
      <c r="V37" s="32" t="s">
        <v>0</v>
      </c>
      <c r="W37" s="32" t="s">
        <v>0</v>
      </c>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row>
    <row r="38" spans="1:51" s="9" customFormat="1" ht="12.95" hidden="1" customHeight="1">
      <c r="A38" s="31">
        <v>0</v>
      </c>
      <c r="B38" s="10"/>
      <c r="C38" s="10"/>
      <c r="D38" s="32"/>
      <c r="E38" s="63">
        <f ca="1">EOMONTH(K7,0)</f>
        <v>44742</v>
      </c>
      <c r="F38" s="4"/>
      <c r="G38" s="4"/>
      <c r="H38" s="64">
        <f ca="1">IF(E38=1,G38-G37,0)</f>
        <v>0</v>
      </c>
      <c r="I38" s="3">
        <f t="shared" ref="I38:I69" si="0">SUM(J38:O38)</f>
        <v>0</v>
      </c>
      <c r="J38" s="65"/>
      <c r="K38" s="1"/>
      <c r="L38" s="5"/>
      <c r="M38" s="2"/>
      <c r="N38" s="2"/>
      <c r="O38" s="2"/>
      <c r="P38" s="40"/>
      <c r="Q38" s="40"/>
      <c r="R38" s="40"/>
      <c r="S38" s="40"/>
      <c r="T38" s="40"/>
      <c r="U38" s="40"/>
      <c r="V38" s="32"/>
      <c r="W38" s="32"/>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row>
    <row r="39" spans="1:51" s="9" customFormat="1" ht="12.95" customHeight="1">
      <c r="A39" s="87">
        <f ca="1">IF(DAY($K$11)&lt;=5,IF(B39&lt;=$K$10,1,0),IF(B39&lt;=$K$10+1,1,0))</f>
        <v>1</v>
      </c>
      <c r="B39" s="93">
        <v>1</v>
      </c>
      <c r="C39" s="93"/>
      <c r="D39" s="88">
        <f t="shared" ref="D39:D51" si="1">D38+1</f>
        <v>1</v>
      </c>
      <c r="E39" s="89">
        <f ca="1">MIN(DATE(YEAR(F39),MONTH(F39)+1,DAY($L$13)),$K$11)</f>
        <v>44747</v>
      </c>
      <c r="F39" s="90">
        <f ca="1">K7</f>
        <v>44729</v>
      </c>
      <c r="G39" s="90">
        <f ca="1">IF(DAY($K$11)&gt;=6,MIN(EOMONTH(F39,0),$K$11),IF(B39=$K$10,$K$11,EOMONTH(F39,0)))</f>
        <v>44742</v>
      </c>
      <c r="H39" s="91">
        <f ca="1">IF(A39=1,IF(E39=$K$11,G39-F39,G39-F39+1),0)</f>
        <v>14</v>
      </c>
      <c r="I39" s="3">
        <f t="shared" ref="I39:I51" ca="1" si="2">SUM(J39:Q39)</f>
        <v>218.9</v>
      </c>
      <c r="J39" s="3">
        <f ca="1">IF(A39=1,IF(E39=$K$11,$K$9,0),0)</f>
        <v>0</v>
      </c>
      <c r="K39" s="3">
        <f ca="1">ROUND(($K$9-SUM($J$39:J39))*(($K$14/(IF(ROUND(YEAR(F39)/4,0)-YEAR(F39)/4=0,366,365)))*H39),2)</f>
        <v>118.9</v>
      </c>
      <c r="L39" s="2">
        <f t="shared" ref="L39:L70" ca="1" si="3">IF(A39=1,IF(AND(YEAR($K$11)=YEAR(EDATE(E38,1)),MONTH($K$11)=MONTH(EDATE(E38,1))),$O$18-$O$42,$O$18),0)</f>
        <v>100</v>
      </c>
      <c r="M39" s="38"/>
      <c r="N39" s="38"/>
      <c r="O39" s="38"/>
      <c r="P39" s="40"/>
      <c r="Q39" s="40"/>
      <c r="R39" s="40"/>
      <c r="S39" s="40"/>
      <c r="T39" s="40"/>
      <c r="U39" s="40"/>
      <c r="V39" s="32" t="s">
        <v>0</v>
      </c>
      <c r="W39" s="32" t="s">
        <v>0</v>
      </c>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row>
    <row r="40" spans="1:51" s="9" customFormat="1" ht="12.95" customHeight="1">
      <c r="A40" s="87">
        <f t="shared" ref="A40:A51" ca="1" si="4">IF(DAY($K$11)&lt;=5,IF(B40&lt;=$K$10,1,0),IF(B40&lt;=$K$10+1,1,0))</f>
        <v>1</v>
      </c>
      <c r="B40" s="93">
        <f t="shared" ref="B40:B51" si="5">B39+1</f>
        <v>2</v>
      </c>
      <c r="C40" s="93"/>
      <c r="D40" s="88">
        <f t="shared" si="1"/>
        <v>2</v>
      </c>
      <c r="E40" s="89">
        <f t="shared" ref="E40:E51" ca="1" si="6">MIN(DATE(YEAR(F40),MONTH(F40)+1,DAY($L$13)),$K$11)</f>
        <v>44778</v>
      </c>
      <c r="F40" s="92">
        <f t="shared" ref="F40:F50" ca="1" si="7">G39+1</f>
        <v>44743</v>
      </c>
      <c r="G40" s="90">
        <f t="shared" ref="G40:G51" ca="1" si="8">IF(DAY($K$11)&gt;=6,MIN(EOMONTH(F40,0),$K$11),IF(B40=$K$10,$K$11,EOMONTH(F40,0)))</f>
        <v>44773</v>
      </c>
      <c r="H40" s="91">
        <f t="shared" ref="H40:H51" ca="1" si="9">IF(A40=1,IF(E40=$K$11,G40-F40,G40-F40+1),0)</f>
        <v>31</v>
      </c>
      <c r="I40" s="3">
        <f t="shared" ca="1" si="2"/>
        <v>363.29</v>
      </c>
      <c r="J40" s="3">
        <f t="shared" ref="J40:J51" ca="1" si="10">IF(A40=1,IF(E40=$K$11,$K$9,0),0)</f>
        <v>0</v>
      </c>
      <c r="K40" s="3">
        <f ca="1">ROUND(($K$9-SUM($J$39:J39))*(($K$14/(IF(ROUND(YEAR(F40)/4,0)-YEAR(F40)/4=0,366,365)))*H40),2)</f>
        <v>263.29000000000002</v>
      </c>
      <c r="L40" s="2">
        <f t="shared" ca="1" si="3"/>
        <v>100</v>
      </c>
      <c r="M40" s="38"/>
      <c r="N40" s="38"/>
      <c r="O40" s="38"/>
      <c r="P40" s="40"/>
      <c r="Q40" s="40"/>
      <c r="R40" s="40"/>
      <c r="S40" s="40"/>
      <c r="T40" s="40"/>
      <c r="U40" s="40"/>
      <c r="V40" s="32" t="s">
        <v>0</v>
      </c>
      <c r="W40" s="32" t="s">
        <v>0</v>
      </c>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row>
    <row r="41" spans="1:51" s="9" customFormat="1" ht="12.95" customHeight="1">
      <c r="A41" s="87">
        <f t="shared" ca="1" si="4"/>
        <v>1</v>
      </c>
      <c r="B41" s="93">
        <f t="shared" si="5"/>
        <v>3</v>
      </c>
      <c r="C41" s="93"/>
      <c r="D41" s="88">
        <f t="shared" si="1"/>
        <v>3</v>
      </c>
      <c r="E41" s="89">
        <f t="shared" ca="1" si="6"/>
        <v>44809</v>
      </c>
      <c r="F41" s="92">
        <f t="shared" ca="1" si="7"/>
        <v>44774</v>
      </c>
      <c r="G41" s="90">
        <f t="shared" ca="1" si="8"/>
        <v>44804</v>
      </c>
      <c r="H41" s="91">
        <f t="shared" ca="1" si="9"/>
        <v>31</v>
      </c>
      <c r="I41" s="3">
        <f t="shared" ca="1" si="2"/>
        <v>363.29</v>
      </c>
      <c r="J41" s="3">
        <f t="shared" ca="1" si="10"/>
        <v>0</v>
      </c>
      <c r="K41" s="3">
        <f ca="1">ROUND(($K$9-SUM($J$39:J40))*(($K$14/(IF(ROUND(YEAR(F41)/4,0)-YEAR(F41)/4=0,366,365)))*H41),2)</f>
        <v>263.29000000000002</v>
      </c>
      <c r="L41" s="2">
        <f t="shared" ca="1" si="3"/>
        <v>100</v>
      </c>
      <c r="M41" s="38"/>
      <c r="N41" s="38"/>
      <c r="O41" s="38"/>
      <c r="P41" s="40"/>
      <c r="Q41" s="40"/>
      <c r="R41" s="40"/>
      <c r="S41" s="40"/>
      <c r="T41" s="40"/>
      <c r="U41" s="40"/>
      <c r="V41" s="32" t="s">
        <v>0</v>
      </c>
      <c r="W41" s="32" t="s">
        <v>0</v>
      </c>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row>
    <row r="42" spans="1:51" s="9" customFormat="1" ht="12.95" customHeight="1">
      <c r="A42" s="87">
        <f t="shared" ca="1" si="4"/>
        <v>1</v>
      </c>
      <c r="B42" s="93">
        <f t="shared" si="5"/>
        <v>4</v>
      </c>
      <c r="C42" s="93"/>
      <c r="D42" s="88">
        <f t="shared" si="1"/>
        <v>4</v>
      </c>
      <c r="E42" s="89">
        <f t="shared" ca="1" si="6"/>
        <v>44839</v>
      </c>
      <c r="F42" s="92">
        <f t="shared" ca="1" si="7"/>
        <v>44805</v>
      </c>
      <c r="G42" s="90">
        <f t="shared" ca="1" si="8"/>
        <v>44834</v>
      </c>
      <c r="H42" s="91">
        <f t="shared" ca="1" si="9"/>
        <v>30</v>
      </c>
      <c r="I42" s="3">
        <f t="shared" ca="1" si="2"/>
        <v>354.78999999999996</v>
      </c>
      <c r="J42" s="3">
        <f t="shared" ca="1" si="10"/>
        <v>0</v>
      </c>
      <c r="K42" s="3">
        <f ca="1">ROUND(($K$9-SUM($J$39:J41))*(($K$14/(IF(ROUND(YEAR(F42)/4,0)-YEAR(F42)/4=0,366,365)))*H42),2)</f>
        <v>254.79</v>
      </c>
      <c r="L42" s="2">
        <f t="shared" ca="1" si="3"/>
        <v>100</v>
      </c>
      <c r="M42" s="38"/>
      <c r="N42" s="38"/>
      <c r="O42" s="38"/>
      <c r="P42" s="40"/>
      <c r="Q42" s="40"/>
      <c r="R42" s="40"/>
      <c r="S42" s="40"/>
      <c r="T42" s="40"/>
      <c r="U42" s="40"/>
      <c r="V42" s="32" t="s">
        <v>0</v>
      </c>
      <c r="W42" s="32" t="s">
        <v>0</v>
      </c>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row>
    <row r="43" spans="1:51" s="9" customFormat="1" ht="12.95" customHeight="1">
      <c r="A43" s="87">
        <f t="shared" ca="1" si="4"/>
        <v>1</v>
      </c>
      <c r="B43" s="93">
        <f t="shared" si="5"/>
        <v>5</v>
      </c>
      <c r="C43" s="93"/>
      <c r="D43" s="88">
        <f t="shared" si="1"/>
        <v>5</v>
      </c>
      <c r="E43" s="89">
        <f t="shared" ca="1" si="6"/>
        <v>44870</v>
      </c>
      <c r="F43" s="92">
        <f t="shared" ca="1" si="7"/>
        <v>44835</v>
      </c>
      <c r="G43" s="90">
        <f t="shared" ca="1" si="8"/>
        <v>44865</v>
      </c>
      <c r="H43" s="91">
        <f t="shared" ca="1" si="9"/>
        <v>31</v>
      </c>
      <c r="I43" s="3">
        <f t="shared" ca="1" si="2"/>
        <v>363.29</v>
      </c>
      <c r="J43" s="3">
        <f t="shared" ca="1" si="10"/>
        <v>0</v>
      </c>
      <c r="K43" s="3">
        <f ca="1">ROUND(($K$9-SUM($J$39:J42))*(($K$14/(IF(ROUND(YEAR(F43)/4,0)-YEAR(F43)/4=0,366,365)))*H43),2)</f>
        <v>263.29000000000002</v>
      </c>
      <c r="L43" s="2">
        <f t="shared" ca="1" si="3"/>
        <v>100</v>
      </c>
      <c r="M43" s="38"/>
      <c r="N43" s="38"/>
      <c r="O43" s="38"/>
      <c r="P43" s="40"/>
      <c r="Q43" s="40"/>
      <c r="R43" s="40"/>
      <c r="S43" s="40"/>
      <c r="T43" s="40"/>
      <c r="U43" s="40"/>
      <c r="V43" s="32" t="s">
        <v>0</v>
      </c>
      <c r="W43" s="32" t="s">
        <v>0</v>
      </c>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row>
    <row r="44" spans="1:51" s="9" customFormat="1" ht="12.95" customHeight="1">
      <c r="A44" s="87">
        <f t="shared" ca="1" si="4"/>
        <v>1</v>
      </c>
      <c r="B44" s="93">
        <f t="shared" si="5"/>
        <v>6</v>
      </c>
      <c r="C44" s="93"/>
      <c r="D44" s="88">
        <f t="shared" si="1"/>
        <v>6</v>
      </c>
      <c r="E44" s="89">
        <f t="shared" ca="1" si="6"/>
        <v>44900</v>
      </c>
      <c r="F44" s="92">
        <f t="shared" ca="1" si="7"/>
        <v>44866</v>
      </c>
      <c r="G44" s="90">
        <f t="shared" ca="1" si="8"/>
        <v>44895</v>
      </c>
      <c r="H44" s="91">
        <f t="shared" ca="1" si="9"/>
        <v>30</v>
      </c>
      <c r="I44" s="3">
        <f t="shared" ca="1" si="2"/>
        <v>354.78999999999996</v>
      </c>
      <c r="J44" s="3">
        <f t="shared" ca="1" si="10"/>
        <v>0</v>
      </c>
      <c r="K44" s="3">
        <f ca="1">ROUND(($K$9-SUM($J$39:J43))*(($K$14/(IF(ROUND(YEAR(F44)/4,0)-YEAR(F44)/4=0,366,365)))*H44),2)</f>
        <v>254.79</v>
      </c>
      <c r="L44" s="2">
        <f t="shared" ca="1" si="3"/>
        <v>100</v>
      </c>
      <c r="M44" s="38"/>
      <c r="N44" s="38"/>
      <c r="O44" s="38"/>
      <c r="P44" s="40"/>
      <c r="Q44" s="40"/>
      <c r="R44" s="40"/>
      <c r="S44" s="40"/>
      <c r="T44" s="40"/>
      <c r="U44" s="40"/>
      <c r="V44" s="32" t="s">
        <v>0</v>
      </c>
      <c r="W44" s="32" t="s">
        <v>0</v>
      </c>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row>
    <row r="45" spans="1:51" s="9" customFormat="1" ht="12.95" customHeight="1">
      <c r="A45" s="87">
        <f t="shared" ca="1" si="4"/>
        <v>1</v>
      </c>
      <c r="B45" s="93">
        <f t="shared" si="5"/>
        <v>7</v>
      </c>
      <c r="C45" s="93"/>
      <c r="D45" s="88">
        <f t="shared" si="1"/>
        <v>7</v>
      </c>
      <c r="E45" s="89">
        <f t="shared" ca="1" si="6"/>
        <v>44931</v>
      </c>
      <c r="F45" s="92">
        <f t="shared" ca="1" si="7"/>
        <v>44896</v>
      </c>
      <c r="G45" s="90">
        <f t="shared" ca="1" si="8"/>
        <v>44926</v>
      </c>
      <c r="H45" s="91">
        <f t="shared" ca="1" si="9"/>
        <v>31</v>
      </c>
      <c r="I45" s="3">
        <f t="shared" ca="1" si="2"/>
        <v>363.29</v>
      </c>
      <c r="J45" s="3">
        <f t="shared" ca="1" si="10"/>
        <v>0</v>
      </c>
      <c r="K45" s="3">
        <f ca="1">ROUND(($K$9-SUM($J$39:J44))*(($K$14/(IF(ROUND(YEAR(F45)/4,0)-YEAR(F45)/4=0,366,365)))*H45),2)</f>
        <v>263.29000000000002</v>
      </c>
      <c r="L45" s="2">
        <f t="shared" ca="1" si="3"/>
        <v>100</v>
      </c>
      <c r="M45" s="38"/>
      <c r="N45" s="38"/>
      <c r="O45" s="38"/>
      <c r="P45" s="40"/>
      <c r="Q45" s="40"/>
      <c r="R45" s="40"/>
      <c r="S45" s="40"/>
      <c r="T45" s="40"/>
      <c r="U45" s="40"/>
      <c r="V45" s="32" t="s">
        <v>0</v>
      </c>
      <c r="W45" s="32" t="s">
        <v>0</v>
      </c>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row>
    <row r="46" spans="1:51" s="9" customFormat="1" ht="12.95" customHeight="1">
      <c r="A46" s="87">
        <f t="shared" ca="1" si="4"/>
        <v>1</v>
      </c>
      <c r="B46" s="93">
        <f t="shared" si="5"/>
        <v>8</v>
      </c>
      <c r="C46" s="93"/>
      <c r="D46" s="88">
        <f t="shared" si="1"/>
        <v>8</v>
      </c>
      <c r="E46" s="89">
        <f t="shared" ca="1" si="6"/>
        <v>44962</v>
      </c>
      <c r="F46" s="92">
        <f t="shared" ca="1" si="7"/>
        <v>44927</v>
      </c>
      <c r="G46" s="90">
        <f t="shared" ca="1" si="8"/>
        <v>44957</v>
      </c>
      <c r="H46" s="91">
        <f t="shared" ca="1" si="9"/>
        <v>31</v>
      </c>
      <c r="I46" s="3">
        <f t="shared" ca="1" si="2"/>
        <v>363.29</v>
      </c>
      <c r="J46" s="3">
        <f t="shared" ca="1" si="10"/>
        <v>0</v>
      </c>
      <c r="K46" s="3">
        <f ca="1">ROUND(($K$9-SUM($J$39:J45))*(($K$14/(IF(ROUND(YEAR(F46)/4,0)-YEAR(F46)/4=0,366,365)))*H46),2)</f>
        <v>263.29000000000002</v>
      </c>
      <c r="L46" s="2">
        <f t="shared" ca="1" si="3"/>
        <v>100</v>
      </c>
      <c r="M46" s="38"/>
      <c r="N46" s="38"/>
      <c r="O46" s="38"/>
      <c r="P46" s="40"/>
      <c r="Q46" s="40"/>
      <c r="R46" s="40"/>
      <c r="S46" s="40"/>
      <c r="T46" s="40"/>
      <c r="U46" s="40"/>
      <c r="V46" s="32" t="s">
        <v>0</v>
      </c>
      <c r="W46" s="32" t="s">
        <v>0</v>
      </c>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row>
    <row r="47" spans="1:51" s="9" customFormat="1" ht="12.95" customHeight="1">
      <c r="A47" s="87">
        <f t="shared" ca="1" si="4"/>
        <v>1</v>
      </c>
      <c r="B47" s="93">
        <f t="shared" si="5"/>
        <v>9</v>
      </c>
      <c r="C47" s="93"/>
      <c r="D47" s="88">
        <f t="shared" si="1"/>
        <v>9</v>
      </c>
      <c r="E47" s="89">
        <f t="shared" ca="1" si="6"/>
        <v>44990</v>
      </c>
      <c r="F47" s="92">
        <f t="shared" ca="1" si="7"/>
        <v>44958</v>
      </c>
      <c r="G47" s="90">
        <f t="shared" ca="1" si="8"/>
        <v>44985</v>
      </c>
      <c r="H47" s="91">
        <f t="shared" ca="1" si="9"/>
        <v>28</v>
      </c>
      <c r="I47" s="3">
        <f t="shared" ca="1" si="2"/>
        <v>337.81</v>
      </c>
      <c r="J47" s="3">
        <f t="shared" ca="1" si="10"/>
        <v>0</v>
      </c>
      <c r="K47" s="3">
        <f ca="1">ROUND(($K$9-SUM($J$39:J46))*(($K$14/(IF(ROUND(YEAR(F47)/4,0)-YEAR(F47)/4=0,366,365)))*H47),2)</f>
        <v>237.81</v>
      </c>
      <c r="L47" s="2">
        <f t="shared" ca="1" si="3"/>
        <v>100</v>
      </c>
      <c r="M47" s="38"/>
      <c r="N47" s="38"/>
      <c r="O47" s="38"/>
      <c r="P47" s="40"/>
      <c r="Q47" s="40"/>
      <c r="R47" s="40"/>
      <c r="S47" s="40"/>
      <c r="T47" s="40"/>
      <c r="U47" s="40"/>
      <c r="V47" s="32" t="s">
        <v>0</v>
      </c>
      <c r="W47" s="32" t="s">
        <v>0</v>
      </c>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row>
    <row r="48" spans="1:51" s="9" customFormat="1" ht="12.95" customHeight="1">
      <c r="A48" s="87">
        <f t="shared" ca="1" si="4"/>
        <v>1</v>
      </c>
      <c r="B48" s="93">
        <f t="shared" si="5"/>
        <v>10</v>
      </c>
      <c r="C48" s="93"/>
      <c r="D48" s="88">
        <f t="shared" si="1"/>
        <v>10</v>
      </c>
      <c r="E48" s="89">
        <f t="shared" ca="1" si="6"/>
        <v>45021</v>
      </c>
      <c r="F48" s="92">
        <f t="shared" ca="1" si="7"/>
        <v>44986</v>
      </c>
      <c r="G48" s="90">
        <f t="shared" ca="1" si="8"/>
        <v>45016</v>
      </c>
      <c r="H48" s="91">
        <f t="shared" ca="1" si="9"/>
        <v>31</v>
      </c>
      <c r="I48" s="3">
        <f t="shared" ca="1" si="2"/>
        <v>363.29</v>
      </c>
      <c r="J48" s="3">
        <f t="shared" ca="1" si="10"/>
        <v>0</v>
      </c>
      <c r="K48" s="3">
        <f ca="1">ROUND(($K$9-SUM($J$39:J47))*(($K$14/(IF(ROUND(YEAR(F48)/4,0)-YEAR(F48)/4=0,366,365)))*H48),2)</f>
        <v>263.29000000000002</v>
      </c>
      <c r="L48" s="2">
        <f t="shared" ca="1" si="3"/>
        <v>100</v>
      </c>
      <c r="M48" s="38"/>
      <c r="N48" s="38"/>
      <c r="O48" s="38"/>
      <c r="P48" s="40"/>
      <c r="Q48" s="40"/>
      <c r="R48" s="40"/>
      <c r="S48" s="40"/>
      <c r="T48" s="40"/>
      <c r="U48" s="40"/>
      <c r="V48" s="32" t="s">
        <v>0</v>
      </c>
      <c r="W48" s="32" t="s">
        <v>0</v>
      </c>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row>
    <row r="49" spans="1:51" s="9" customFormat="1" ht="12.95" customHeight="1">
      <c r="A49" s="87">
        <f t="shared" ca="1" si="4"/>
        <v>1</v>
      </c>
      <c r="B49" s="93">
        <f t="shared" si="5"/>
        <v>11</v>
      </c>
      <c r="C49" s="93"/>
      <c r="D49" s="88">
        <f t="shared" si="1"/>
        <v>11</v>
      </c>
      <c r="E49" s="89">
        <f t="shared" ca="1" si="6"/>
        <v>45051</v>
      </c>
      <c r="F49" s="92">
        <f t="shared" ca="1" si="7"/>
        <v>45017</v>
      </c>
      <c r="G49" s="90">
        <f t="shared" ca="1" si="8"/>
        <v>45046</v>
      </c>
      <c r="H49" s="91">
        <f t="shared" ca="1" si="9"/>
        <v>30</v>
      </c>
      <c r="I49" s="3">
        <f t="shared" ca="1" si="2"/>
        <v>354.78999999999996</v>
      </c>
      <c r="J49" s="3">
        <f t="shared" ca="1" si="10"/>
        <v>0</v>
      </c>
      <c r="K49" s="3">
        <f ca="1">ROUND(($K$9-SUM($J$39:J48))*(($K$14/(IF(ROUND(YEAR(F49)/4,0)-YEAR(F49)/4=0,366,365)))*H49),2)</f>
        <v>254.79</v>
      </c>
      <c r="L49" s="2">
        <f t="shared" ca="1" si="3"/>
        <v>100</v>
      </c>
      <c r="M49" s="38"/>
      <c r="N49" s="38"/>
      <c r="O49" s="38"/>
      <c r="P49" s="40"/>
      <c r="Q49" s="40"/>
      <c r="R49" s="40"/>
      <c r="S49" s="40"/>
      <c r="T49" s="40"/>
      <c r="U49" s="40"/>
      <c r="V49" s="32" t="s">
        <v>0</v>
      </c>
      <c r="W49" s="32" t="s">
        <v>0</v>
      </c>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row>
    <row r="50" spans="1:51" s="9" customFormat="1" ht="12.95" customHeight="1">
      <c r="A50" s="87">
        <f t="shared" ca="1" si="4"/>
        <v>1</v>
      </c>
      <c r="B50" s="93">
        <f t="shared" si="5"/>
        <v>12</v>
      </c>
      <c r="C50" s="93"/>
      <c r="D50" s="88">
        <f t="shared" si="1"/>
        <v>12</v>
      </c>
      <c r="E50" s="89">
        <f t="shared" ca="1" si="6"/>
        <v>45082</v>
      </c>
      <c r="F50" s="92">
        <f t="shared" ca="1" si="7"/>
        <v>45047</v>
      </c>
      <c r="G50" s="90">
        <f t="shared" ca="1" si="8"/>
        <v>45077</v>
      </c>
      <c r="H50" s="91">
        <f t="shared" ca="1" si="9"/>
        <v>31</v>
      </c>
      <c r="I50" s="3">
        <f t="shared" ca="1" si="2"/>
        <v>363.29</v>
      </c>
      <c r="J50" s="3">
        <f t="shared" ca="1" si="10"/>
        <v>0</v>
      </c>
      <c r="K50" s="3">
        <f ca="1">ROUND(($K$9-SUM($J$39:J49))*(($K$14/(IF(ROUND(YEAR(F50)/4,0)-YEAR(F50)/4=0,366,365)))*H50),2)</f>
        <v>263.29000000000002</v>
      </c>
      <c r="L50" s="2">
        <f t="shared" ca="1" si="3"/>
        <v>100</v>
      </c>
      <c r="M50" s="38"/>
      <c r="N50" s="38"/>
      <c r="O50" s="40"/>
      <c r="P50" s="40"/>
      <c r="Q50" s="40"/>
      <c r="R50" s="40"/>
      <c r="S50" s="40"/>
      <c r="T50" s="40"/>
      <c r="U50" s="40"/>
      <c r="V50" s="32" t="s">
        <v>0</v>
      </c>
      <c r="W50" s="32" t="s">
        <v>0</v>
      </c>
      <c r="X50" s="10"/>
      <c r="Y50" s="10"/>
      <c r="Z50" s="10"/>
      <c r="AA50" s="10"/>
      <c r="AB50" s="10"/>
      <c r="AC50" s="10"/>
      <c r="AD50" s="10"/>
      <c r="AE50" s="10"/>
      <c r="AF50" s="10"/>
      <c r="AG50" s="10"/>
      <c r="AH50" s="10"/>
      <c r="AI50" s="10"/>
      <c r="AJ50" s="10"/>
      <c r="AK50" s="10"/>
      <c r="AL50" s="10"/>
      <c r="AM50" s="10"/>
      <c r="AN50" s="10"/>
      <c r="AO50" s="10"/>
      <c r="AP50" s="10"/>
      <c r="AQ50" s="10"/>
      <c r="AR50" s="10"/>
      <c r="AS50" s="10"/>
      <c r="AT50" s="10"/>
      <c r="AU50" s="10"/>
      <c r="AV50" s="10"/>
      <c r="AW50" s="10"/>
      <c r="AX50" s="10"/>
      <c r="AY50" s="10"/>
    </row>
    <row r="51" spans="1:51" s="9" customFormat="1" ht="12.95" hidden="1" customHeight="1">
      <c r="A51" s="87">
        <f t="shared" ca="1" si="4"/>
        <v>1</v>
      </c>
      <c r="B51" s="93">
        <f t="shared" si="5"/>
        <v>13</v>
      </c>
      <c r="C51" s="93"/>
      <c r="D51" s="88">
        <f t="shared" si="1"/>
        <v>13</v>
      </c>
      <c r="E51" s="89">
        <f t="shared" ca="1" si="6"/>
        <v>45093</v>
      </c>
      <c r="F51" s="92">
        <f ca="1">G50+1</f>
        <v>45078</v>
      </c>
      <c r="G51" s="90">
        <f t="shared" ca="1" si="8"/>
        <v>45093</v>
      </c>
      <c r="H51" s="91">
        <f t="shared" ca="1" si="9"/>
        <v>15</v>
      </c>
      <c r="I51" s="3">
        <f t="shared" ca="1" si="2"/>
        <v>10227.4</v>
      </c>
      <c r="J51" s="3">
        <f t="shared" ca="1" si="10"/>
        <v>10000</v>
      </c>
      <c r="K51" s="3">
        <f ca="1">ROUND(($K$9-SUM($J$39:J50))*(($K$14/(IF(ROUND(YEAR(F51)/4,0)-YEAR(F51)/4=0,366,365)))*H51),2)</f>
        <v>127.4</v>
      </c>
      <c r="L51" s="2">
        <f t="shared" ca="1" si="3"/>
        <v>100</v>
      </c>
      <c r="M51" s="38"/>
      <c r="N51" s="38"/>
      <c r="O51" s="38"/>
      <c r="P51" s="40"/>
      <c r="Q51" s="40"/>
      <c r="R51" s="40"/>
      <c r="S51" s="40"/>
      <c r="T51" s="40"/>
      <c r="U51" s="40"/>
      <c r="V51" s="32" t="s">
        <v>0</v>
      </c>
      <c r="W51" s="32" t="s">
        <v>0</v>
      </c>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row>
    <row r="52" spans="1:51" s="9" customFormat="1" ht="12.95" hidden="1" customHeight="1">
      <c r="A52" s="31">
        <f t="shared" ref="A52:A70" si="11">IF(B52&lt;=$K$10,1,0)</f>
        <v>0</v>
      </c>
      <c r="B52" s="10">
        <f t="shared" ref="B52:B71" si="12">B51+1</f>
        <v>14</v>
      </c>
      <c r="C52" s="10"/>
      <c r="D52" s="32">
        <f t="shared" ref="D52:D71" si="13">D51+1</f>
        <v>14</v>
      </c>
      <c r="E52" s="59">
        <f t="shared" ref="E52:E71" ca="1" si="14">IF(AND(YEAR($K$11)=YEAR(EDATE(E51,1)),MONTH($K$11)=MONTH(EDATE(E51,1))),$K$11,EDATE(E51,1))</f>
        <v>45123</v>
      </c>
      <c r="F52" s="42">
        <f t="shared" ref="F52:F71" ca="1" si="15">EOMONTH(E51,0)-E51</f>
        <v>14</v>
      </c>
      <c r="G52" s="42">
        <f t="shared" ref="G52:G71" ca="1" si="16">E52-EOMONTH(E51,0)</f>
        <v>16</v>
      </c>
      <c r="H52" s="41">
        <f t="shared" ref="H52:H83" ca="1" si="17">IF(E52=1,G52-G51,0)</f>
        <v>0</v>
      </c>
      <c r="I52" s="43">
        <f t="shared" ca="1" si="0"/>
        <v>0</v>
      </c>
      <c r="J52" s="43">
        <f ca="1">IF(B52&lt;$K$10,$L$12,-$J$37-SUM($J$39:J51))</f>
        <v>0</v>
      </c>
      <c r="K52" s="43">
        <f ca="1">ROUND(($K$9-SUM($J$39:J51))*(($K$14/(IF(ROUND(YEAR(E51)/4,0)-YEAR(E51)/4=0,366,365)))*F52)+($K$9-SUM($J$39:J51))*(($K$14/(IF(ROUND(YEAR(E52)/4,0)-YEAR(E52)/4=0,366,365)))*G52),2)</f>
        <v>0</v>
      </c>
      <c r="L52" s="2">
        <f t="shared" si="3"/>
        <v>0</v>
      </c>
      <c r="M52" s="38"/>
      <c r="N52" s="38"/>
      <c r="O52" s="38"/>
      <c r="P52" s="40"/>
      <c r="Q52" s="40"/>
      <c r="R52" s="40"/>
      <c r="S52" s="40"/>
      <c r="T52" s="40"/>
      <c r="U52" s="40"/>
      <c r="V52" s="32" t="s">
        <v>0</v>
      </c>
      <c r="W52" s="32" t="s">
        <v>0</v>
      </c>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row>
    <row r="53" spans="1:51" s="9" customFormat="1" ht="12.95" hidden="1" customHeight="1">
      <c r="A53" s="31">
        <f t="shared" si="11"/>
        <v>0</v>
      </c>
      <c r="B53" s="10">
        <f t="shared" si="12"/>
        <v>15</v>
      </c>
      <c r="C53" s="10"/>
      <c r="D53" s="32">
        <f t="shared" si="13"/>
        <v>15</v>
      </c>
      <c r="E53" s="59">
        <f t="shared" ca="1" si="14"/>
        <v>45154</v>
      </c>
      <c r="F53" s="42">
        <f t="shared" ca="1" si="15"/>
        <v>15</v>
      </c>
      <c r="G53" s="42">
        <f t="shared" ca="1" si="16"/>
        <v>16</v>
      </c>
      <c r="H53" s="41">
        <f t="shared" ca="1" si="17"/>
        <v>0</v>
      </c>
      <c r="I53" s="43">
        <f t="shared" ca="1" si="0"/>
        <v>0</v>
      </c>
      <c r="J53" s="43">
        <f ca="1">IF(B53&lt;$K$10,$L$12,-$J$37-SUM($J$39:J52))</f>
        <v>0</v>
      </c>
      <c r="K53" s="43">
        <f ca="1">ROUND(($K$9-SUM($J$39:J52))*(($K$14/(IF(ROUND(YEAR(E52)/4,0)-YEAR(E52)/4=0,366,365)))*F53)+($K$9-SUM($J$39:J52))*(($K$14/(IF(ROUND(YEAR(E53)/4,0)-YEAR(E53)/4=0,366,365)))*G53),2)</f>
        <v>0</v>
      </c>
      <c r="L53" s="2">
        <f t="shared" si="3"/>
        <v>0</v>
      </c>
      <c r="M53" s="38"/>
      <c r="N53" s="38"/>
      <c r="O53" s="38"/>
      <c r="P53" s="40"/>
      <c r="Q53" s="40"/>
      <c r="R53" s="40"/>
      <c r="S53" s="40"/>
      <c r="T53" s="40"/>
      <c r="U53" s="40"/>
      <c r="V53" s="32" t="s">
        <v>0</v>
      </c>
      <c r="W53" s="32" t="s">
        <v>0</v>
      </c>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row>
    <row r="54" spans="1:51" s="9" customFormat="1" ht="12.95" hidden="1" customHeight="1">
      <c r="A54" s="31">
        <f t="shared" si="11"/>
        <v>0</v>
      </c>
      <c r="B54" s="10">
        <f t="shared" si="12"/>
        <v>16</v>
      </c>
      <c r="C54" s="10"/>
      <c r="D54" s="32">
        <f t="shared" si="13"/>
        <v>16</v>
      </c>
      <c r="E54" s="59">
        <f t="shared" ca="1" si="14"/>
        <v>45185</v>
      </c>
      <c r="F54" s="42">
        <f t="shared" ca="1" si="15"/>
        <v>15</v>
      </c>
      <c r="G54" s="42">
        <f t="shared" ca="1" si="16"/>
        <v>16</v>
      </c>
      <c r="H54" s="41">
        <f t="shared" ca="1" si="17"/>
        <v>0</v>
      </c>
      <c r="I54" s="43">
        <f t="shared" ca="1" si="0"/>
        <v>0</v>
      </c>
      <c r="J54" s="43">
        <f ca="1">IF(B54&lt;$K$10,$L$12,-$J$37-SUM($J$39:J53))</f>
        <v>0</v>
      </c>
      <c r="K54" s="43">
        <f ca="1">ROUND(($K$9-SUM($J$39:J53))*(($K$14/(IF(ROUND(YEAR(E53)/4,0)-YEAR(E53)/4=0,366,365)))*F54)+($K$9-SUM($J$39:J53))*(($K$14/(IF(ROUND(YEAR(E54)/4,0)-YEAR(E54)/4=0,366,365)))*G54),2)</f>
        <v>0</v>
      </c>
      <c r="L54" s="2">
        <f t="shared" si="3"/>
        <v>0</v>
      </c>
      <c r="M54" s="38"/>
      <c r="N54" s="38"/>
      <c r="O54" s="38"/>
      <c r="P54" s="40"/>
      <c r="Q54" s="40"/>
      <c r="R54" s="40"/>
      <c r="S54" s="40"/>
      <c r="T54" s="40"/>
      <c r="U54" s="40"/>
      <c r="V54" s="32" t="s">
        <v>0</v>
      </c>
      <c r="W54" s="32" t="s">
        <v>0</v>
      </c>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row>
    <row r="55" spans="1:51" s="9" customFormat="1" ht="12.95" hidden="1" customHeight="1">
      <c r="A55" s="31">
        <f t="shared" si="11"/>
        <v>0</v>
      </c>
      <c r="B55" s="10">
        <f t="shared" si="12"/>
        <v>17</v>
      </c>
      <c r="C55" s="10"/>
      <c r="D55" s="32">
        <f t="shared" si="13"/>
        <v>17</v>
      </c>
      <c r="E55" s="59">
        <f t="shared" ca="1" si="14"/>
        <v>45215</v>
      </c>
      <c r="F55" s="42">
        <f t="shared" ca="1" si="15"/>
        <v>14</v>
      </c>
      <c r="G55" s="42">
        <f t="shared" ca="1" si="16"/>
        <v>16</v>
      </c>
      <c r="H55" s="41">
        <f t="shared" ca="1" si="17"/>
        <v>0</v>
      </c>
      <c r="I55" s="43">
        <f t="shared" ca="1" si="0"/>
        <v>0</v>
      </c>
      <c r="J55" s="43">
        <f ca="1">IF(B55&lt;$K$10,$L$12,-$J$37-SUM($J$39:J54))</f>
        <v>0</v>
      </c>
      <c r="K55" s="43">
        <f ca="1">ROUND(($K$9-SUM($J$39:J54))*(($K$14/(IF(ROUND(YEAR(E54)/4,0)-YEAR(E54)/4=0,366,365)))*F55)+($K$9-SUM($J$39:J54))*(($K$14/(IF(ROUND(YEAR(E55)/4,0)-YEAR(E55)/4=0,366,365)))*G55),2)</f>
        <v>0</v>
      </c>
      <c r="L55" s="2">
        <f t="shared" si="3"/>
        <v>0</v>
      </c>
      <c r="M55" s="38"/>
      <c r="N55" s="38"/>
      <c r="O55" s="38"/>
      <c r="P55" s="40"/>
      <c r="Q55" s="40"/>
      <c r="R55" s="40"/>
      <c r="S55" s="40"/>
      <c r="T55" s="40"/>
      <c r="U55" s="40"/>
      <c r="V55" s="32" t="s">
        <v>0</v>
      </c>
      <c r="W55" s="32" t="s">
        <v>0</v>
      </c>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row>
    <row r="56" spans="1:51" s="9" customFormat="1" ht="12.95" hidden="1" customHeight="1">
      <c r="A56" s="31">
        <f t="shared" si="11"/>
        <v>0</v>
      </c>
      <c r="B56" s="10">
        <f t="shared" si="12"/>
        <v>18</v>
      </c>
      <c r="C56" s="10"/>
      <c r="D56" s="32">
        <f t="shared" si="13"/>
        <v>18</v>
      </c>
      <c r="E56" s="59">
        <f t="shared" ca="1" si="14"/>
        <v>45246</v>
      </c>
      <c r="F56" s="42">
        <f t="shared" ca="1" si="15"/>
        <v>15</v>
      </c>
      <c r="G56" s="42">
        <f t="shared" ca="1" si="16"/>
        <v>16</v>
      </c>
      <c r="H56" s="41">
        <f t="shared" ca="1" si="17"/>
        <v>0</v>
      </c>
      <c r="I56" s="43">
        <f t="shared" ca="1" si="0"/>
        <v>0</v>
      </c>
      <c r="J56" s="43">
        <f ca="1">IF(B56&lt;$K$10,$L$12,-$J$37-SUM($J$39:J55))</f>
        <v>0</v>
      </c>
      <c r="K56" s="43">
        <f ca="1">ROUND(($K$9-SUM($J$39:J55))*(($K$14/(IF(ROUND(YEAR(E55)/4,0)-YEAR(E55)/4=0,366,365)))*F56)+($K$9-SUM($J$39:J55))*(($K$14/(IF(ROUND(YEAR(E56)/4,0)-YEAR(E56)/4=0,366,365)))*G56),2)</f>
        <v>0</v>
      </c>
      <c r="L56" s="2">
        <f t="shared" si="3"/>
        <v>0</v>
      </c>
      <c r="M56" s="38"/>
      <c r="N56" s="38"/>
      <c r="O56" s="38"/>
      <c r="P56" s="40"/>
      <c r="Q56" s="40"/>
      <c r="R56" s="40"/>
      <c r="S56" s="40"/>
      <c r="T56" s="40"/>
      <c r="U56" s="40"/>
      <c r="V56" s="32" t="s">
        <v>0</v>
      </c>
      <c r="W56" s="32" t="s">
        <v>0</v>
      </c>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row>
    <row r="57" spans="1:51" s="9" customFormat="1" ht="12.95" hidden="1" customHeight="1">
      <c r="A57" s="31">
        <f t="shared" si="11"/>
        <v>0</v>
      </c>
      <c r="B57" s="10">
        <f t="shared" si="12"/>
        <v>19</v>
      </c>
      <c r="C57" s="10"/>
      <c r="D57" s="32">
        <f t="shared" si="13"/>
        <v>19</v>
      </c>
      <c r="E57" s="59">
        <f t="shared" ca="1" si="14"/>
        <v>45276</v>
      </c>
      <c r="F57" s="42">
        <f t="shared" ca="1" si="15"/>
        <v>14</v>
      </c>
      <c r="G57" s="42">
        <f t="shared" ca="1" si="16"/>
        <v>16</v>
      </c>
      <c r="H57" s="41">
        <f t="shared" ca="1" si="17"/>
        <v>0</v>
      </c>
      <c r="I57" s="43">
        <f t="shared" ca="1" si="0"/>
        <v>0</v>
      </c>
      <c r="J57" s="43">
        <f ca="1">IF(B57&lt;$K$10,$L$12,-$J$37-SUM($J$39:J56))</f>
        <v>0</v>
      </c>
      <c r="K57" s="43">
        <f ca="1">ROUND(($K$9-SUM($J$39:J56))*(($K$14/(IF(ROUND(YEAR(E56)/4,0)-YEAR(E56)/4=0,366,365)))*F57)+($K$9-SUM($J$39:J56))*(($K$14/(IF(ROUND(YEAR(E57)/4,0)-YEAR(E57)/4=0,366,365)))*G57),2)</f>
        <v>0</v>
      </c>
      <c r="L57" s="2">
        <f t="shared" si="3"/>
        <v>0</v>
      </c>
      <c r="M57" s="38"/>
      <c r="N57" s="38"/>
      <c r="O57" s="38"/>
      <c r="P57" s="40"/>
      <c r="Q57" s="40"/>
      <c r="R57" s="40"/>
      <c r="S57" s="40"/>
      <c r="T57" s="40"/>
      <c r="U57" s="40"/>
      <c r="V57" s="32" t="s">
        <v>0</v>
      </c>
      <c r="W57" s="32" t="s">
        <v>0</v>
      </c>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row>
    <row r="58" spans="1:51" s="9" customFormat="1" ht="12.95" hidden="1" customHeight="1">
      <c r="A58" s="31">
        <f t="shared" si="11"/>
        <v>0</v>
      </c>
      <c r="B58" s="10">
        <f t="shared" si="12"/>
        <v>20</v>
      </c>
      <c r="C58" s="10"/>
      <c r="D58" s="32">
        <f t="shared" si="13"/>
        <v>20</v>
      </c>
      <c r="E58" s="59">
        <f t="shared" ca="1" si="14"/>
        <v>45307</v>
      </c>
      <c r="F58" s="42">
        <f t="shared" ca="1" si="15"/>
        <v>15</v>
      </c>
      <c r="G58" s="42">
        <f t="shared" ca="1" si="16"/>
        <v>16</v>
      </c>
      <c r="H58" s="41">
        <f t="shared" ca="1" si="17"/>
        <v>0</v>
      </c>
      <c r="I58" s="43">
        <f t="shared" ca="1" si="0"/>
        <v>0</v>
      </c>
      <c r="J58" s="43">
        <f ca="1">IF(B58&lt;$K$10,$L$12,-$J$37-SUM($J$39:J57))</f>
        <v>0</v>
      </c>
      <c r="K58" s="43">
        <f ca="1">ROUND(($K$9-SUM($J$39:J57))*(($K$14/(IF(ROUND(YEAR(E57)/4,0)-YEAR(E57)/4=0,366,365)))*F58)+($K$9-SUM($J$39:J57))*(($K$14/(IF(ROUND(YEAR(E58)/4,0)-YEAR(E58)/4=0,366,365)))*G58),2)</f>
        <v>0</v>
      </c>
      <c r="L58" s="2">
        <f t="shared" si="3"/>
        <v>0</v>
      </c>
      <c r="M58" s="38"/>
      <c r="N58" s="38"/>
      <c r="O58" s="38"/>
      <c r="P58" s="40"/>
      <c r="Q58" s="40"/>
      <c r="R58" s="40"/>
      <c r="S58" s="40"/>
      <c r="T58" s="40"/>
      <c r="U58" s="40"/>
      <c r="V58" s="32" t="s">
        <v>0</v>
      </c>
      <c r="W58" s="32" t="s">
        <v>0</v>
      </c>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row>
    <row r="59" spans="1:51" s="9" customFormat="1" ht="12.95" hidden="1" customHeight="1">
      <c r="A59" s="31">
        <f t="shared" si="11"/>
        <v>0</v>
      </c>
      <c r="B59" s="10">
        <f t="shared" si="12"/>
        <v>21</v>
      </c>
      <c r="C59" s="10"/>
      <c r="D59" s="32">
        <f t="shared" si="13"/>
        <v>21</v>
      </c>
      <c r="E59" s="59">
        <f t="shared" ca="1" si="14"/>
        <v>45338</v>
      </c>
      <c r="F59" s="42">
        <f t="shared" ca="1" si="15"/>
        <v>15</v>
      </c>
      <c r="G59" s="42">
        <f t="shared" ca="1" si="16"/>
        <v>16</v>
      </c>
      <c r="H59" s="41">
        <f t="shared" ca="1" si="17"/>
        <v>0</v>
      </c>
      <c r="I59" s="43">
        <f t="shared" ca="1" si="0"/>
        <v>0</v>
      </c>
      <c r="J59" s="43">
        <f ca="1">IF(B59&lt;$K$10,$L$12,-$J$37-SUM($J$39:J58))</f>
        <v>0</v>
      </c>
      <c r="K59" s="43">
        <f ca="1">ROUND(($K$9-SUM($J$39:J58))*(($K$14/(IF(ROUND(YEAR(E58)/4,0)-YEAR(E58)/4=0,366,365)))*F59)+($K$9-SUM($J$39:J58))*(($K$14/(IF(ROUND(YEAR(E59)/4,0)-YEAR(E59)/4=0,366,365)))*G59),2)</f>
        <v>0</v>
      </c>
      <c r="L59" s="2">
        <f t="shared" si="3"/>
        <v>0</v>
      </c>
      <c r="M59" s="38"/>
      <c r="N59" s="38"/>
      <c r="O59" s="38"/>
      <c r="P59" s="40"/>
      <c r="Q59" s="40"/>
      <c r="R59" s="40"/>
      <c r="S59" s="40"/>
      <c r="T59" s="40"/>
      <c r="U59" s="40"/>
      <c r="V59" s="32" t="s">
        <v>0</v>
      </c>
      <c r="W59" s="32" t="s">
        <v>0</v>
      </c>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row>
    <row r="60" spans="1:51" s="9" customFormat="1" ht="12.95" hidden="1" customHeight="1">
      <c r="A60" s="31">
        <f t="shared" si="11"/>
        <v>0</v>
      </c>
      <c r="B60" s="10">
        <f t="shared" si="12"/>
        <v>22</v>
      </c>
      <c r="C60" s="10"/>
      <c r="D60" s="32">
        <f t="shared" si="13"/>
        <v>22</v>
      </c>
      <c r="E60" s="59">
        <f t="shared" ca="1" si="14"/>
        <v>45367</v>
      </c>
      <c r="F60" s="42">
        <f t="shared" ca="1" si="15"/>
        <v>13</v>
      </c>
      <c r="G60" s="42">
        <f t="shared" ca="1" si="16"/>
        <v>16</v>
      </c>
      <c r="H60" s="41">
        <f t="shared" ca="1" si="17"/>
        <v>0</v>
      </c>
      <c r="I60" s="43">
        <f t="shared" ca="1" si="0"/>
        <v>0</v>
      </c>
      <c r="J60" s="43">
        <f ca="1">IF(B60&lt;$K$10,$L$12,-$J$37-SUM($J$39:J59))</f>
        <v>0</v>
      </c>
      <c r="K60" s="43">
        <f ca="1">ROUND(($K$9-SUM($J$39:J59))*(($K$14/(IF(ROUND(YEAR(E59)/4,0)-YEAR(E59)/4=0,366,365)))*F60)+($K$9-SUM($J$39:J59))*(($K$14/(IF(ROUND(YEAR(E60)/4,0)-YEAR(E60)/4=0,366,365)))*G60),2)</f>
        <v>0</v>
      </c>
      <c r="L60" s="2">
        <f t="shared" si="3"/>
        <v>0</v>
      </c>
      <c r="M60" s="38"/>
      <c r="N60" s="38"/>
      <c r="O60" s="38"/>
      <c r="P60" s="40"/>
      <c r="Q60" s="40"/>
      <c r="R60" s="40"/>
      <c r="S60" s="40"/>
      <c r="T60" s="40"/>
      <c r="U60" s="40"/>
      <c r="V60" s="32" t="s">
        <v>0</v>
      </c>
      <c r="W60" s="32" t="s">
        <v>0</v>
      </c>
      <c r="X60" s="10"/>
      <c r="Y60" s="10"/>
      <c r="Z60" s="10"/>
      <c r="AA60" s="10"/>
      <c r="AB60" s="10"/>
      <c r="AC60" s="10"/>
      <c r="AD60" s="10"/>
      <c r="AE60" s="10"/>
      <c r="AF60" s="10"/>
      <c r="AG60" s="10"/>
      <c r="AH60" s="10"/>
      <c r="AI60" s="10"/>
      <c r="AJ60" s="10"/>
      <c r="AK60" s="10"/>
      <c r="AL60" s="10"/>
      <c r="AM60" s="10"/>
      <c r="AN60" s="10"/>
      <c r="AO60" s="10"/>
      <c r="AP60" s="10"/>
      <c r="AQ60" s="10"/>
      <c r="AR60" s="10"/>
      <c r="AS60" s="10"/>
      <c r="AT60" s="10"/>
      <c r="AU60" s="10"/>
      <c r="AV60" s="10"/>
      <c r="AW60" s="10"/>
      <c r="AX60" s="10"/>
      <c r="AY60" s="10"/>
    </row>
    <row r="61" spans="1:51" s="9" customFormat="1" ht="12.95" hidden="1" customHeight="1">
      <c r="A61" s="31">
        <f t="shared" si="11"/>
        <v>0</v>
      </c>
      <c r="B61" s="10">
        <f t="shared" si="12"/>
        <v>23</v>
      </c>
      <c r="C61" s="10"/>
      <c r="D61" s="32">
        <f t="shared" si="13"/>
        <v>23</v>
      </c>
      <c r="E61" s="59">
        <f t="shared" ca="1" si="14"/>
        <v>45398</v>
      </c>
      <c r="F61" s="42">
        <f t="shared" ca="1" si="15"/>
        <v>15</v>
      </c>
      <c r="G61" s="42">
        <f t="shared" ca="1" si="16"/>
        <v>16</v>
      </c>
      <c r="H61" s="41">
        <f t="shared" ca="1" si="17"/>
        <v>0</v>
      </c>
      <c r="I61" s="43">
        <f t="shared" ca="1" si="0"/>
        <v>0</v>
      </c>
      <c r="J61" s="43">
        <f ca="1">IF(B61&lt;$K$10,$L$12,-$J$37-SUM($J$39:J60))</f>
        <v>0</v>
      </c>
      <c r="K61" s="43">
        <f ca="1">ROUND(($K$9-SUM($J$39:J60))*(($K$14/(IF(ROUND(YEAR(E60)/4,0)-YEAR(E60)/4=0,366,365)))*F61)+($K$9-SUM($J$39:J60))*(($K$14/(IF(ROUND(YEAR(E61)/4,0)-YEAR(E61)/4=0,366,365)))*G61),2)</f>
        <v>0</v>
      </c>
      <c r="L61" s="2">
        <f t="shared" si="3"/>
        <v>0</v>
      </c>
      <c r="M61" s="38"/>
      <c r="N61" s="38"/>
      <c r="O61" s="38"/>
      <c r="P61" s="40"/>
      <c r="Q61" s="40"/>
      <c r="R61" s="40"/>
      <c r="S61" s="40"/>
      <c r="T61" s="40"/>
      <c r="U61" s="40"/>
      <c r="V61" s="32" t="s">
        <v>0</v>
      </c>
      <c r="W61" s="32" t="s">
        <v>0</v>
      </c>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row>
    <row r="62" spans="1:51" s="9" customFormat="1" ht="12.95" hidden="1" customHeight="1">
      <c r="A62" s="31">
        <f t="shared" si="11"/>
        <v>0</v>
      </c>
      <c r="B62" s="10">
        <f t="shared" si="12"/>
        <v>24</v>
      </c>
      <c r="C62" s="10"/>
      <c r="D62" s="32">
        <f t="shared" si="13"/>
        <v>24</v>
      </c>
      <c r="E62" s="59">
        <f t="shared" ca="1" si="14"/>
        <v>45428</v>
      </c>
      <c r="F62" s="42">
        <f t="shared" ca="1" si="15"/>
        <v>14</v>
      </c>
      <c r="G62" s="42">
        <f t="shared" ca="1" si="16"/>
        <v>16</v>
      </c>
      <c r="H62" s="41">
        <f t="shared" ca="1" si="17"/>
        <v>0</v>
      </c>
      <c r="I62" s="43">
        <f t="shared" ca="1" si="0"/>
        <v>0</v>
      </c>
      <c r="J62" s="43">
        <f ca="1">IF(B62&lt;$K$10,$L$12,-$J$37-SUM($J$39:J61))</f>
        <v>0</v>
      </c>
      <c r="K62" s="43">
        <f ca="1">ROUND(($K$9-SUM($J$39:J61))*(($K$14/(IF(ROUND(YEAR(E61)/4,0)-YEAR(E61)/4=0,366,365)))*F62)+($K$9-SUM($J$39:J61))*(($K$14/(IF(ROUND(YEAR(E62)/4,0)-YEAR(E62)/4=0,366,365)))*G62),2)</f>
        <v>0</v>
      </c>
      <c r="L62" s="2">
        <f t="shared" si="3"/>
        <v>0</v>
      </c>
      <c r="M62" s="38"/>
      <c r="N62" s="38"/>
      <c r="O62" s="40">
        <f>IF(B62&lt;$K$10,$K$9*$K$19,0)</f>
        <v>0</v>
      </c>
      <c r="P62" s="40"/>
      <c r="Q62" s="40"/>
      <c r="R62" s="40"/>
      <c r="S62" s="40"/>
      <c r="T62" s="40">
        <f>IF(B62&lt;$K$10,$K$8*$K$22,0)</f>
        <v>0</v>
      </c>
      <c r="U62" s="40"/>
      <c r="V62" s="32" t="s">
        <v>0</v>
      </c>
      <c r="W62" s="32" t="s">
        <v>0</v>
      </c>
      <c r="X62" s="10"/>
      <c r="Y62" s="10"/>
      <c r="Z62" s="10"/>
      <c r="AA62" s="10"/>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row>
    <row r="63" spans="1:51" s="9" customFormat="1" ht="12.95" hidden="1" customHeight="1">
      <c r="A63" s="31">
        <f t="shared" si="11"/>
        <v>0</v>
      </c>
      <c r="B63" s="10">
        <f t="shared" si="12"/>
        <v>25</v>
      </c>
      <c r="C63" s="10"/>
      <c r="D63" s="32">
        <f t="shared" si="13"/>
        <v>25</v>
      </c>
      <c r="E63" s="59">
        <f t="shared" ca="1" si="14"/>
        <v>45459</v>
      </c>
      <c r="F63" s="42">
        <f t="shared" ca="1" si="15"/>
        <v>15</v>
      </c>
      <c r="G63" s="42">
        <f t="shared" ca="1" si="16"/>
        <v>16</v>
      </c>
      <c r="H63" s="41">
        <f t="shared" ca="1" si="17"/>
        <v>0</v>
      </c>
      <c r="I63" s="43">
        <f t="shared" ca="1" si="0"/>
        <v>0</v>
      </c>
      <c r="J63" s="43">
        <f ca="1">IF(B63&lt;$K$10,$L$12,-$J$37-SUM($J$39:J62))</f>
        <v>0</v>
      </c>
      <c r="K63" s="43">
        <f ca="1">ROUND(($K$9-SUM($J$39:J62))*(($K$14/(IF(ROUND(YEAR(E62)/4,0)-YEAR(E62)/4=0,366,365)))*F63)+($K$9-SUM($J$39:J62))*(($K$14/(IF(ROUND(YEAR(E63)/4,0)-YEAR(E63)/4=0,366,365)))*G63),2)</f>
        <v>0</v>
      </c>
      <c r="L63" s="2">
        <f t="shared" si="3"/>
        <v>0</v>
      </c>
      <c r="M63" s="38"/>
      <c r="N63" s="38"/>
      <c r="O63" s="38"/>
      <c r="P63" s="40"/>
      <c r="Q63" s="40"/>
      <c r="R63" s="40"/>
      <c r="S63" s="40"/>
      <c r="T63" s="40"/>
      <c r="U63" s="40"/>
      <c r="V63" s="32" t="s">
        <v>0</v>
      </c>
      <c r="W63" s="32" t="s">
        <v>0</v>
      </c>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row>
    <row r="64" spans="1:51" s="9" customFormat="1" ht="12.95" hidden="1" customHeight="1">
      <c r="A64" s="31">
        <f t="shared" si="11"/>
        <v>0</v>
      </c>
      <c r="B64" s="10">
        <f t="shared" si="12"/>
        <v>26</v>
      </c>
      <c r="C64" s="10"/>
      <c r="D64" s="32">
        <f t="shared" si="13"/>
        <v>26</v>
      </c>
      <c r="E64" s="59">
        <f t="shared" ca="1" si="14"/>
        <v>45489</v>
      </c>
      <c r="F64" s="42">
        <f t="shared" ca="1" si="15"/>
        <v>14</v>
      </c>
      <c r="G64" s="42">
        <f t="shared" ca="1" si="16"/>
        <v>16</v>
      </c>
      <c r="H64" s="41">
        <f t="shared" ca="1" si="17"/>
        <v>0</v>
      </c>
      <c r="I64" s="43">
        <f t="shared" ca="1" si="0"/>
        <v>0</v>
      </c>
      <c r="J64" s="43">
        <f ca="1">IF(B64&lt;$K$10,$L$12,-$J$37-SUM($J$39:J63))</f>
        <v>0</v>
      </c>
      <c r="K64" s="43">
        <f ca="1">ROUND(($K$9-SUM($J$39:J63))*(($K$14/(IF(ROUND(YEAR(E63)/4,0)-YEAR(E63)/4=0,366,365)))*F64)+($K$9-SUM($J$39:J63))*(($K$14/(IF(ROUND(YEAR(E64)/4,0)-YEAR(E64)/4=0,366,365)))*G64),2)</f>
        <v>0</v>
      </c>
      <c r="L64" s="2">
        <f t="shared" si="3"/>
        <v>0</v>
      </c>
      <c r="M64" s="38"/>
      <c r="N64" s="38"/>
      <c r="O64" s="38"/>
      <c r="P64" s="40"/>
      <c r="Q64" s="40"/>
      <c r="R64" s="40"/>
      <c r="S64" s="40"/>
      <c r="T64" s="40"/>
      <c r="U64" s="40"/>
      <c r="V64" s="32" t="s">
        <v>0</v>
      </c>
      <c r="W64" s="32" t="s">
        <v>0</v>
      </c>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row>
    <row r="65" spans="1:51" s="9" customFormat="1" ht="12.95" hidden="1" customHeight="1">
      <c r="A65" s="31">
        <f t="shared" si="11"/>
        <v>0</v>
      </c>
      <c r="B65" s="10">
        <f t="shared" si="12"/>
        <v>27</v>
      </c>
      <c r="C65" s="10"/>
      <c r="D65" s="32">
        <f t="shared" si="13"/>
        <v>27</v>
      </c>
      <c r="E65" s="59">
        <f t="shared" ca="1" si="14"/>
        <v>45520</v>
      </c>
      <c r="F65" s="42">
        <f t="shared" ca="1" si="15"/>
        <v>15</v>
      </c>
      <c r="G65" s="42">
        <f t="shared" ca="1" si="16"/>
        <v>16</v>
      </c>
      <c r="H65" s="41">
        <f t="shared" ca="1" si="17"/>
        <v>0</v>
      </c>
      <c r="I65" s="43">
        <f t="shared" ca="1" si="0"/>
        <v>0</v>
      </c>
      <c r="J65" s="43">
        <f ca="1">IF(B65&lt;$K$10,$L$12,-$J$37-SUM($J$39:J64))</f>
        <v>0</v>
      </c>
      <c r="K65" s="43">
        <f ca="1">ROUND(($K$9-SUM($J$39:J64))*(($K$14/(IF(ROUND(YEAR(E64)/4,0)-YEAR(E64)/4=0,366,365)))*F65)+($K$9-SUM($J$39:J64))*(($K$14/(IF(ROUND(YEAR(E65)/4,0)-YEAR(E65)/4=0,366,365)))*G65),2)</f>
        <v>0</v>
      </c>
      <c r="L65" s="2">
        <f t="shared" si="3"/>
        <v>0</v>
      </c>
      <c r="M65" s="38"/>
      <c r="N65" s="38"/>
      <c r="O65" s="38"/>
      <c r="P65" s="40"/>
      <c r="Q65" s="40"/>
      <c r="R65" s="40"/>
      <c r="S65" s="40"/>
      <c r="T65" s="40"/>
      <c r="U65" s="40"/>
      <c r="V65" s="32" t="s">
        <v>0</v>
      </c>
      <c r="W65" s="32" t="s">
        <v>0</v>
      </c>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row>
    <row r="66" spans="1:51" s="9" customFormat="1" ht="12.95" hidden="1" customHeight="1">
      <c r="A66" s="31">
        <f t="shared" si="11"/>
        <v>0</v>
      </c>
      <c r="B66" s="10">
        <f t="shared" si="12"/>
        <v>28</v>
      </c>
      <c r="C66" s="10"/>
      <c r="D66" s="32">
        <f t="shared" si="13"/>
        <v>28</v>
      </c>
      <c r="E66" s="59">
        <f t="shared" ca="1" si="14"/>
        <v>45551</v>
      </c>
      <c r="F66" s="42">
        <f t="shared" ca="1" si="15"/>
        <v>15</v>
      </c>
      <c r="G66" s="42">
        <f t="shared" ca="1" si="16"/>
        <v>16</v>
      </c>
      <c r="H66" s="41">
        <f t="shared" ca="1" si="17"/>
        <v>0</v>
      </c>
      <c r="I66" s="43">
        <f t="shared" ca="1" si="0"/>
        <v>0</v>
      </c>
      <c r="J66" s="43">
        <f ca="1">IF(B66&lt;$K$10,$L$12,-$J$37-SUM($J$39:J65))</f>
        <v>0</v>
      </c>
      <c r="K66" s="43">
        <f ca="1">ROUND(($K$9-SUM($J$39:J65))*(($K$14/(IF(ROUND(YEAR(E65)/4,0)-YEAR(E65)/4=0,366,365)))*F66)+($K$9-SUM($J$39:J65))*(($K$14/(IF(ROUND(YEAR(E66)/4,0)-YEAR(E66)/4=0,366,365)))*G66),2)</f>
        <v>0</v>
      </c>
      <c r="L66" s="2">
        <f t="shared" si="3"/>
        <v>0</v>
      </c>
      <c r="M66" s="38"/>
      <c r="N66" s="38"/>
      <c r="O66" s="38"/>
      <c r="P66" s="40"/>
      <c r="Q66" s="40"/>
      <c r="R66" s="40"/>
      <c r="S66" s="40"/>
      <c r="T66" s="40"/>
      <c r="U66" s="40"/>
      <c r="V66" s="32" t="s">
        <v>0</v>
      </c>
      <c r="W66" s="32" t="s">
        <v>0</v>
      </c>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row>
    <row r="67" spans="1:51" s="9" customFormat="1" ht="12.95" hidden="1" customHeight="1">
      <c r="A67" s="31">
        <f t="shared" si="11"/>
        <v>0</v>
      </c>
      <c r="B67" s="10">
        <f t="shared" si="12"/>
        <v>29</v>
      </c>
      <c r="C67" s="10"/>
      <c r="D67" s="32">
        <f t="shared" si="13"/>
        <v>29</v>
      </c>
      <c r="E67" s="59">
        <f t="shared" ca="1" si="14"/>
        <v>45581</v>
      </c>
      <c r="F67" s="42">
        <f t="shared" ca="1" si="15"/>
        <v>14</v>
      </c>
      <c r="G67" s="42">
        <f t="shared" ca="1" si="16"/>
        <v>16</v>
      </c>
      <c r="H67" s="41">
        <f t="shared" ca="1" si="17"/>
        <v>0</v>
      </c>
      <c r="I67" s="43">
        <f t="shared" ca="1" si="0"/>
        <v>0</v>
      </c>
      <c r="J67" s="43">
        <f ca="1">IF(B67&lt;$K$10,$L$12,-$J$37-SUM($J$39:J66))</f>
        <v>0</v>
      </c>
      <c r="K67" s="43">
        <f ca="1">ROUND(($K$9-SUM($J$39:J66))*(($K$14/(IF(ROUND(YEAR(E66)/4,0)-YEAR(E66)/4=0,366,365)))*F67)+($K$9-SUM($J$39:J66))*(($K$14/(IF(ROUND(YEAR(E67)/4,0)-YEAR(E67)/4=0,366,365)))*G67),2)</f>
        <v>0</v>
      </c>
      <c r="L67" s="2">
        <f t="shared" si="3"/>
        <v>0</v>
      </c>
      <c r="M67" s="38"/>
      <c r="N67" s="38"/>
      <c r="O67" s="38"/>
      <c r="P67" s="40"/>
      <c r="Q67" s="40"/>
      <c r="R67" s="40"/>
      <c r="S67" s="40"/>
      <c r="T67" s="40"/>
      <c r="U67" s="40"/>
      <c r="V67" s="32" t="s">
        <v>0</v>
      </c>
      <c r="W67" s="32" t="s">
        <v>0</v>
      </c>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row>
    <row r="68" spans="1:51" s="9" customFormat="1" ht="12.95" hidden="1" customHeight="1">
      <c r="A68" s="31">
        <f t="shared" si="11"/>
        <v>0</v>
      </c>
      <c r="B68" s="10">
        <f t="shared" si="12"/>
        <v>30</v>
      </c>
      <c r="C68" s="10"/>
      <c r="D68" s="32">
        <f t="shared" si="13"/>
        <v>30</v>
      </c>
      <c r="E68" s="59">
        <f t="shared" ca="1" si="14"/>
        <v>45612</v>
      </c>
      <c r="F68" s="42">
        <f t="shared" ca="1" si="15"/>
        <v>15</v>
      </c>
      <c r="G68" s="42">
        <f t="shared" ca="1" si="16"/>
        <v>16</v>
      </c>
      <c r="H68" s="41">
        <f t="shared" ca="1" si="17"/>
        <v>0</v>
      </c>
      <c r="I68" s="43">
        <f t="shared" ca="1" si="0"/>
        <v>0</v>
      </c>
      <c r="J68" s="43">
        <f ca="1">IF(B68&lt;$K$10,$L$12,-$J$37-SUM($J$39:J67))</f>
        <v>0</v>
      </c>
      <c r="K68" s="43">
        <f ca="1">ROUND(($K$9-SUM($J$39:J67))*(($K$14/(IF(ROUND(YEAR(E67)/4,0)-YEAR(E67)/4=0,366,365)))*F68)+($K$9-SUM($J$39:J67))*(($K$14/(IF(ROUND(YEAR(E68)/4,0)-YEAR(E68)/4=0,366,365)))*G68),2)</f>
        <v>0</v>
      </c>
      <c r="L68" s="2">
        <f t="shared" si="3"/>
        <v>0</v>
      </c>
      <c r="M68" s="38"/>
      <c r="N68" s="38"/>
      <c r="O68" s="38"/>
      <c r="P68" s="40"/>
      <c r="Q68" s="40"/>
      <c r="R68" s="40"/>
      <c r="S68" s="40"/>
      <c r="T68" s="40"/>
      <c r="U68" s="40"/>
      <c r="V68" s="32" t="s">
        <v>0</v>
      </c>
      <c r="W68" s="32" t="s">
        <v>0</v>
      </c>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row>
    <row r="69" spans="1:51" s="9" customFormat="1" ht="12.95" hidden="1" customHeight="1">
      <c r="A69" s="31">
        <f t="shared" si="11"/>
        <v>0</v>
      </c>
      <c r="B69" s="10">
        <f t="shared" si="12"/>
        <v>31</v>
      </c>
      <c r="C69" s="10"/>
      <c r="D69" s="32">
        <f t="shared" si="13"/>
        <v>31</v>
      </c>
      <c r="E69" s="59">
        <f t="shared" ca="1" si="14"/>
        <v>45642</v>
      </c>
      <c r="F69" s="42">
        <f t="shared" ca="1" si="15"/>
        <v>14</v>
      </c>
      <c r="G69" s="42">
        <f t="shared" ca="1" si="16"/>
        <v>16</v>
      </c>
      <c r="H69" s="41">
        <f t="shared" ca="1" si="17"/>
        <v>0</v>
      </c>
      <c r="I69" s="43">
        <f t="shared" ca="1" si="0"/>
        <v>0</v>
      </c>
      <c r="J69" s="43">
        <f ca="1">IF(B69&lt;$K$10,$L$12,-$J$37-SUM($J$39:J68))</f>
        <v>0</v>
      </c>
      <c r="K69" s="43">
        <f ca="1">ROUND(($K$9-SUM($J$39:J68))*(($K$14/(IF(ROUND(YEAR(E68)/4,0)-YEAR(E68)/4=0,366,365)))*F69)+($K$9-SUM($J$39:J68))*(($K$14/(IF(ROUND(YEAR(E69)/4,0)-YEAR(E69)/4=0,366,365)))*G69),2)</f>
        <v>0</v>
      </c>
      <c r="L69" s="2">
        <f t="shared" si="3"/>
        <v>0</v>
      </c>
      <c r="M69" s="38"/>
      <c r="N69" s="38"/>
      <c r="O69" s="38"/>
      <c r="P69" s="40"/>
      <c r="Q69" s="40"/>
      <c r="R69" s="40"/>
      <c r="S69" s="40"/>
      <c r="T69" s="40"/>
      <c r="U69" s="40"/>
      <c r="V69" s="32" t="s">
        <v>0</v>
      </c>
      <c r="W69" s="32" t="s">
        <v>0</v>
      </c>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row>
    <row r="70" spans="1:51" s="9" customFormat="1" ht="12.95" hidden="1" customHeight="1">
      <c r="A70" s="31">
        <f t="shared" si="11"/>
        <v>0</v>
      </c>
      <c r="B70" s="10">
        <f t="shared" si="12"/>
        <v>32</v>
      </c>
      <c r="C70" s="10"/>
      <c r="D70" s="32">
        <f t="shared" si="13"/>
        <v>32</v>
      </c>
      <c r="E70" s="59">
        <f t="shared" ca="1" si="14"/>
        <v>45673</v>
      </c>
      <c r="F70" s="42">
        <f t="shared" ca="1" si="15"/>
        <v>15</v>
      </c>
      <c r="G70" s="42">
        <f t="shared" ca="1" si="16"/>
        <v>16</v>
      </c>
      <c r="H70" s="41">
        <f t="shared" ca="1" si="17"/>
        <v>0</v>
      </c>
      <c r="I70" s="43">
        <f t="shared" ref="I70:I101" ca="1" si="18">SUM(J70:O70)</f>
        <v>0</v>
      </c>
      <c r="J70" s="43">
        <f ca="1">IF(B70&lt;$K$10,$L$12,-$J$37-SUM($J$39:J69))</f>
        <v>0</v>
      </c>
      <c r="K70" s="43">
        <f ca="1">ROUND(($K$9-SUM($J$39:J69))*(($K$14/(IF(ROUND(YEAR(E69)/4,0)-YEAR(E69)/4=0,366,365)))*F70)+($K$9-SUM($J$39:J69))*(($K$14/(IF(ROUND(YEAR(E70)/4,0)-YEAR(E70)/4=0,366,365)))*G70),2)</f>
        <v>0</v>
      </c>
      <c r="L70" s="2">
        <f t="shared" si="3"/>
        <v>0</v>
      </c>
      <c r="M70" s="38"/>
      <c r="N70" s="38"/>
      <c r="O70" s="38"/>
      <c r="P70" s="40"/>
      <c r="Q70" s="40"/>
      <c r="R70" s="40"/>
      <c r="S70" s="40"/>
      <c r="T70" s="40"/>
      <c r="U70" s="40"/>
      <c r="V70" s="32" t="s">
        <v>0</v>
      </c>
      <c r="W70" s="32" t="s">
        <v>0</v>
      </c>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row>
    <row r="71" spans="1:51" s="9" customFormat="1" ht="12.95" hidden="1" customHeight="1">
      <c r="A71" s="31">
        <f t="shared" ref="A71:A102" si="19">IF(B71&lt;=$K$10,1,0)</f>
        <v>0</v>
      </c>
      <c r="B71" s="10">
        <f t="shared" si="12"/>
        <v>33</v>
      </c>
      <c r="C71" s="10"/>
      <c r="D71" s="32">
        <f t="shared" si="13"/>
        <v>33</v>
      </c>
      <c r="E71" s="59">
        <f t="shared" ca="1" si="14"/>
        <v>45704</v>
      </c>
      <c r="F71" s="42">
        <f t="shared" ca="1" si="15"/>
        <v>15</v>
      </c>
      <c r="G71" s="42">
        <f t="shared" ca="1" si="16"/>
        <v>16</v>
      </c>
      <c r="H71" s="41">
        <f t="shared" ca="1" si="17"/>
        <v>0</v>
      </c>
      <c r="I71" s="43">
        <f t="shared" ca="1" si="18"/>
        <v>0</v>
      </c>
      <c r="J71" s="43">
        <f ca="1">IF(B71&lt;$K$10,$L$12,-$J$37-SUM($J$39:J70))</f>
        <v>0</v>
      </c>
      <c r="K71" s="43">
        <f ca="1">ROUND(($K$9-SUM($J$39:J70))*(($K$14/(IF(ROUND(YEAR(E70)/4,0)-YEAR(E70)/4=0,366,365)))*F71)+($K$9-SUM($J$39:J70))*(($K$14/(IF(ROUND(YEAR(E71)/4,0)-YEAR(E71)/4=0,366,365)))*G71),2)</f>
        <v>0</v>
      </c>
      <c r="L71" s="2">
        <f t="shared" ref="L71:L102" si="20">IF(A71=1,IF(AND(YEAR($K$11)=YEAR(EDATE(E70,1)),MONTH($K$11)=MONTH(EDATE(E70,1))),$O$18-$O$42,$O$18),0)</f>
        <v>0</v>
      </c>
      <c r="M71" s="38"/>
      <c r="N71" s="38"/>
      <c r="O71" s="38"/>
      <c r="P71" s="40"/>
      <c r="Q71" s="40"/>
      <c r="R71" s="40"/>
      <c r="S71" s="40"/>
      <c r="T71" s="40"/>
      <c r="U71" s="40"/>
      <c r="V71" s="32" t="s">
        <v>0</v>
      </c>
      <c r="W71" s="32" t="s">
        <v>0</v>
      </c>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row>
    <row r="72" spans="1:51" s="9" customFormat="1" ht="12.95" hidden="1" customHeight="1">
      <c r="A72" s="31">
        <f t="shared" si="19"/>
        <v>0</v>
      </c>
      <c r="B72" s="10">
        <f t="shared" ref="B72:B103" si="21">B71+1</f>
        <v>34</v>
      </c>
      <c r="C72" s="10"/>
      <c r="D72" s="32">
        <f t="shared" ref="D72:D103" si="22">D71+1</f>
        <v>34</v>
      </c>
      <c r="E72" s="59">
        <f t="shared" ref="E72:E103" ca="1" si="23">IF(AND(YEAR($K$11)=YEAR(EDATE(E71,1)),MONTH($K$11)=MONTH(EDATE(E71,1))),$K$11,EDATE(E71,1))</f>
        <v>45732</v>
      </c>
      <c r="F72" s="42">
        <f t="shared" ref="F72:F103" ca="1" si="24">EOMONTH(E71,0)-E71</f>
        <v>12</v>
      </c>
      <c r="G72" s="42">
        <f t="shared" ref="G72:G103" ca="1" si="25">E72-EOMONTH(E71,0)</f>
        <v>16</v>
      </c>
      <c r="H72" s="41">
        <f t="shared" ca="1" si="17"/>
        <v>0</v>
      </c>
      <c r="I72" s="43">
        <f t="shared" ca="1" si="18"/>
        <v>0</v>
      </c>
      <c r="J72" s="43">
        <f ca="1">IF(B72&lt;$K$10,$L$12,-$J$37-SUM($J$39:J71))</f>
        <v>0</v>
      </c>
      <c r="K72" s="43">
        <f ca="1">ROUND(($K$9-SUM($J$39:J71))*(($K$14/(IF(ROUND(YEAR(E71)/4,0)-YEAR(E71)/4=0,366,365)))*F72)+($K$9-SUM($J$39:J71))*(($K$14/(IF(ROUND(YEAR(E72)/4,0)-YEAR(E72)/4=0,366,365)))*G72),2)</f>
        <v>0</v>
      </c>
      <c r="L72" s="2">
        <f t="shared" si="20"/>
        <v>0</v>
      </c>
      <c r="M72" s="38"/>
      <c r="N72" s="38"/>
      <c r="O72" s="38"/>
      <c r="P72" s="40"/>
      <c r="Q72" s="40"/>
      <c r="R72" s="40"/>
      <c r="S72" s="40"/>
      <c r="T72" s="40"/>
      <c r="U72" s="40"/>
      <c r="V72" s="32" t="s">
        <v>0</v>
      </c>
      <c r="W72" s="32" t="s">
        <v>0</v>
      </c>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row>
    <row r="73" spans="1:51" s="9" customFormat="1" ht="12.95" hidden="1" customHeight="1">
      <c r="A73" s="31">
        <f t="shared" si="19"/>
        <v>0</v>
      </c>
      <c r="B73" s="10">
        <f t="shared" si="21"/>
        <v>35</v>
      </c>
      <c r="C73" s="10"/>
      <c r="D73" s="32">
        <f t="shared" si="22"/>
        <v>35</v>
      </c>
      <c r="E73" s="59">
        <f t="shared" ca="1" si="23"/>
        <v>45763</v>
      </c>
      <c r="F73" s="42">
        <f t="shared" ca="1" si="24"/>
        <v>15</v>
      </c>
      <c r="G73" s="42">
        <f t="shared" ca="1" si="25"/>
        <v>16</v>
      </c>
      <c r="H73" s="41">
        <f t="shared" ca="1" si="17"/>
        <v>0</v>
      </c>
      <c r="I73" s="43">
        <f t="shared" ca="1" si="18"/>
        <v>0</v>
      </c>
      <c r="J73" s="43">
        <f ca="1">IF(B73&lt;$K$10,$L$12,-$J$37-SUM($J$39:J72))</f>
        <v>0</v>
      </c>
      <c r="K73" s="43">
        <f ca="1">ROUND(($K$9-SUM($J$39:J72))*(($K$14/(IF(ROUND(YEAR(E72)/4,0)-YEAR(E72)/4=0,366,365)))*F73)+($K$9-SUM($J$39:J72))*(($K$14/(IF(ROUND(YEAR(E73)/4,0)-YEAR(E73)/4=0,366,365)))*G73),2)</f>
        <v>0</v>
      </c>
      <c r="L73" s="2">
        <f t="shared" si="20"/>
        <v>0</v>
      </c>
      <c r="M73" s="38"/>
      <c r="N73" s="38"/>
      <c r="O73" s="38"/>
      <c r="P73" s="40"/>
      <c r="Q73" s="40"/>
      <c r="R73" s="40"/>
      <c r="S73" s="40"/>
      <c r="T73" s="40"/>
      <c r="U73" s="40"/>
      <c r="V73" s="32" t="s">
        <v>0</v>
      </c>
      <c r="W73" s="32" t="s">
        <v>0</v>
      </c>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row>
    <row r="74" spans="1:51" s="9" customFormat="1" ht="12.95" hidden="1" customHeight="1">
      <c r="A74" s="31">
        <f t="shared" si="19"/>
        <v>0</v>
      </c>
      <c r="B74" s="10">
        <f t="shared" si="21"/>
        <v>36</v>
      </c>
      <c r="C74" s="10"/>
      <c r="D74" s="32">
        <f t="shared" si="22"/>
        <v>36</v>
      </c>
      <c r="E74" s="59">
        <f t="shared" ca="1" si="23"/>
        <v>45793</v>
      </c>
      <c r="F74" s="42">
        <f t="shared" ca="1" si="24"/>
        <v>14</v>
      </c>
      <c r="G74" s="42">
        <f t="shared" ca="1" si="25"/>
        <v>16</v>
      </c>
      <c r="H74" s="41">
        <f t="shared" ca="1" si="17"/>
        <v>0</v>
      </c>
      <c r="I74" s="43">
        <f t="shared" ca="1" si="18"/>
        <v>0</v>
      </c>
      <c r="J74" s="43">
        <f ca="1">IF(B74&lt;$K$10,$L$12,-$J$37-SUM($J$39:J73))</f>
        <v>0</v>
      </c>
      <c r="K74" s="43">
        <f ca="1">ROUND(($K$9-SUM($J$39:J73))*(($K$14/(IF(ROUND(YEAR(E73)/4,0)-YEAR(E73)/4=0,366,365)))*F74)+($K$9-SUM($J$39:J73))*(($K$14/(IF(ROUND(YEAR(E74)/4,0)-YEAR(E74)/4=0,366,365)))*G74),2)</f>
        <v>0</v>
      </c>
      <c r="L74" s="2">
        <f t="shared" si="20"/>
        <v>0</v>
      </c>
      <c r="M74" s="38"/>
      <c r="N74" s="38"/>
      <c r="O74" s="40">
        <f>IF(B74&lt;$K$10,$K$9*$K$19,0)</f>
        <v>0</v>
      </c>
      <c r="P74" s="40"/>
      <c r="Q74" s="40"/>
      <c r="R74" s="40"/>
      <c r="S74" s="40"/>
      <c r="T74" s="40">
        <f>IF(B74&lt;$K$10,$K$8*$K$22,0)</f>
        <v>0</v>
      </c>
      <c r="U74" s="40"/>
      <c r="V74" s="32" t="s">
        <v>0</v>
      </c>
      <c r="W74" s="32" t="s">
        <v>0</v>
      </c>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row>
    <row r="75" spans="1:51" s="9" customFormat="1" ht="12.95" hidden="1" customHeight="1">
      <c r="A75" s="31">
        <f t="shared" si="19"/>
        <v>0</v>
      </c>
      <c r="B75" s="10">
        <f t="shared" si="21"/>
        <v>37</v>
      </c>
      <c r="C75" s="10"/>
      <c r="D75" s="32">
        <f t="shared" si="22"/>
        <v>37</v>
      </c>
      <c r="E75" s="59">
        <f t="shared" ca="1" si="23"/>
        <v>45824</v>
      </c>
      <c r="F75" s="42">
        <f t="shared" ca="1" si="24"/>
        <v>15</v>
      </c>
      <c r="G75" s="42">
        <f t="shared" ca="1" si="25"/>
        <v>16</v>
      </c>
      <c r="H75" s="41">
        <f t="shared" ca="1" si="17"/>
        <v>0</v>
      </c>
      <c r="I75" s="43">
        <f t="shared" ca="1" si="18"/>
        <v>0</v>
      </c>
      <c r="J75" s="43">
        <f ca="1">IF(B75&lt;$K$10,$L$12,-$J$37-SUM($J$39:J74))</f>
        <v>0</v>
      </c>
      <c r="K75" s="43">
        <f ca="1">ROUND(($K$9-SUM($J$39:J74))*(($K$14/(IF(ROUND(YEAR(E74)/4,0)-YEAR(E74)/4=0,366,365)))*F75)+($K$9-SUM($J$39:J74))*(($K$14/(IF(ROUND(YEAR(E75)/4,0)-YEAR(E75)/4=0,366,365)))*G75),2)</f>
        <v>0</v>
      </c>
      <c r="L75" s="2">
        <f t="shared" si="20"/>
        <v>0</v>
      </c>
      <c r="M75" s="38"/>
      <c r="N75" s="38"/>
      <c r="O75" s="38"/>
      <c r="P75" s="40"/>
      <c r="Q75" s="40"/>
      <c r="R75" s="40"/>
      <c r="S75" s="40"/>
      <c r="T75" s="40"/>
      <c r="U75" s="40"/>
      <c r="V75" s="32" t="s">
        <v>0</v>
      </c>
      <c r="W75" s="32" t="s">
        <v>0</v>
      </c>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row>
    <row r="76" spans="1:51" s="9" customFormat="1" ht="12.95" hidden="1" customHeight="1">
      <c r="A76" s="31">
        <f t="shared" si="19"/>
        <v>0</v>
      </c>
      <c r="B76" s="10">
        <f t="shared" si="21"/>
        <v>38</v>
      </c>
      <c r="C76" s="10"/>
      <c r="D76" s="32">
        <f t="shared" si="22"/>
        <v>38</v>
      </c>
      <c r="E76" s="59">
        <f t="shared" ca="1" si="23"/>
        <v>45854</v>
      </c>
      <c r="F76" s="42">
        <f t="shared" ca="1" si="24"/>
        <v>14</v>
      </c>
      <c r="G76" s="42">
        <f t="shared" ca="1" si="25"/>
        <v>16</v>
      </c>
      <c r="H76" s="41">
        <f t="shared" ca="1" si="17"/>
        <v>0</v>
      </c>
      <c r="I76" s="43">
        <f t="shared" ca="1" si="18"/>
        <v>0</v>
      </c>
      <c r="J76" s="43">
        <f ca="1">IF(B76&lt;$K$10,$L$12,-$J$37-SUM($J$39:J75))</f>
        <v>0</v>
      </c>
      <c r="K76" s="43">
        <f ca="1">ROUND(($K$9-SUM($J$39:J75))*(($K$14/(IF(ROUND(YEAR(E75)/4,0)-YEAR(E75)/4=0,366,365)))*F76)+($K$9-SUM($J$39:J75))*(($K$14/(IF(ROUND(YEAR(E76)/4,0)-YEAR(E76)/4=0,366,365)))*G76),2)</f>
        <v>0</v>
      </c>
      <c r="L76" s="2">
        <f t="shared" si="20"/>
        <v>0</v>
      </c>
      <c r="M76" s="38"/>
      <c r="N76" s="38"/>
      <c r="O76" s="38"/>
      <c r="P76" s="40"/>
      <c r="Q76" s="40"/>
      <c r="R76" s="40"/>
      <c r="S76" s="40"/>
      <c r="T76" s="40"/>
      <c r="U76" s="40"/>
      <c r="V76" s="32" t="s">
        <v>0</v>
      </c>
      <c r="W76" s="32" t="s">
        <v>0</v>
      </c>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row>
    <row r="77" spans="1:51" s="9" customFormat="1" ht="12.95" hidden="1" customHeight="1">
      <c r="A77" s="31">
        <f t="shared" si="19"/>
        <v>0</v>
      </c>
      <c r="B77" s="10">
        <f t="shared" si="21"/>
        <v>39</v>
      </c>
      <c r="C77" s="10"/>
      <c r="D77" s="32">
        <f t="shared" si="22"/>
        <v>39</v>
      </c>
      <c r="E77" s="59">
        <f t="shared" ca="1" si="23"/>
        <v>45885</v>
      </c>
      <c r="F77" s="42">
        <f t="shared" ca="1" si="24"/>
        <v>15</v>
      </c>
      <c r="G77" s="42">
        <f t="shared" ca="1" si="25"/>
        <v>16</v>
      </c>
      <c r="H77" s="41">
        <f t="shared" ca="1" si="17"/>
        <v>0</v>
      </c>
      <c r="I77" s="43">
        <f t="shared" ca="1" si="18"/>
        <v>0</v>
      </c>
      <c r="J77" s="43">
        <f ca="1">IF(B77&lt;$K$10,$L$12,-$J$37-SUM($J$39:J76))</f>
        <v>0</v>
      </c>
      <c r="K77" s="43">
        <f ca="1">ROUND(($K$9-SUM($J$39:J76))*(($K$14/(IF(ROUND(YEAR(E76)/4,0)-YEAR(E76)/4=0,366,365)))*F77)+($K$9-SUM($J$39:J76))*(($K$14/(IF(ROUND(YEAR(E77)/4,0)-YEAR(E77)/4=0,366,365)))*G77),2)</f>
        <v>0</v>
      </c>
      <c r="L77" s="2">
        <f t="shared" si="20"/>
        <v>0</v>
      </c>
      <c r="M77" s="38"/>
      <c r="N77" s="38"/>
      <c r="O77" s="38"/>
      <c r="P77" s="40"/>
      <c r="Q77" s="40"/>
      <c r="R77" s="40"/>
      <c r="S77" s="40"/>
      <c r="T77" s="40"/>
      <c r="U77" s="40"/>
      <c r="V77" s="32" t="s">
        <v>0</v>
      </c>
      <c r="W77" s="32" t="s">
        <v>0</v>
      </c>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row>
    <row r="78" spans="1:51" s="9" customFormat="1" ht="12.95" hidden="1" customHeight="1">
      <c r="A78" s="31">
        <f t="shared" si="19"/>
        <v>0</v>
      </c>
      <c r="B78" s="10">
        <f t="shared" si="21"/>
        <v>40</v>
      </c>
      <c r="C78" s="10"/>
      <c r="D78" s="32">
        <f t="shared" si="22"/>
        <v>40</v>
      </c>
      <c r="E78" s="59">
        <f t="shared" ca="1" si="23"/>
        <v>45916</v>
      </c>
      <c r="F78" s="42">
        <f t="shared" ca="1" si="24"/>
        <v>15</v>
      </c>
      <c r="G78" s="42">
        <f t="shared" ca="1" si="25"/>
        <v>16</v>
      </c>
      <c r="H78" s="41">
        <f t="shared" ca="1" si="17"/>
        <v>0</v>
      </c>
      <c r="I78" s="43">
        <f t="shared" ca="1" si="18"/>
        <v>0</v>
      </c>
      <c r="J78" s="43">
        <f ca="1">IF(B78&lt;$K$10,$L$12,-$J$37-SUM($J$39:J77))</f>
        <v>0</v>
      </c>
      <c r="K78" s="43">
        <f ca="1">ROUND(($K$9-SUM($J$39:J77))*(($K$14/(IF(ROUND(YEAR(E77)/4,0)-YEAR(E77)/4=0,366,365)))*F78)+($K$9-SUM($J$39:J77))*(($K$14/(IF(ROUND(YEAR(E78)/4,0)-YEAR(E78)/4=0,366,365)))*G78),2)</f>
        <v>0</v>
      </c>
      <c r="L78" s="2">
        <f t="shared" si="20"/>
        <v>0</v>
      </c>
      <c r="M78" s="38"/>
      <c r="N78" s="38"/>
      <c r="O78" s="38"/>
      <c r="P78" s="40"/>
      <c r="Q78" s="40"/>
      <c r="R78" s="40"/>
      <c r="S78" s="40"/>
      <c r="T78" s="40"/>
      <c r="U78" s="40"/>
      <c r="V78" s="32" t="s">
        <v>0</v>
      </c>
      <c r="W78" s="32" t="s">
        <v>0</v>
      </c>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row>
    <row r="79" spans="1:51" s="9" customFormat="1" ht="12.95" hidden="1" customHeight="1">
      <c r="A79" s="31">
        <f t="shared" si="19"/>
        <v>0</v>
      </c>
      <c r="B79" s="10">
        <f t="shared" si="21"/>
        <v>41</v>
      </c>
      <c r="C79" s="10"/>
      <c r="D79" s="32">
        <f t="shared" si="22"/>
        <v>41</v>
      </c>
      <c r="E79" s="59">
        <f t="shared" ca="1" si="23"/>
        <v>45946</v>
      </c>
      <c r="F79" s="42">
        <f t="shared" ca="1" si="24"/>
        <v>14</v>
      </c>
      <c r="G79" s="42">
        <f t="shared" ca="1" si="25"/>
        <v>16</v>
      </c>
      <c r="H79" s="41">
        <f t="shared" ca="1" si="17"/>
        <v>0</v>
      </c>
      <c r="I79" s="43">
        <f t="shared" ca="1" si="18"/>
        <v>0</v>
      </c>
      <c r="J79" s="43">
        <f ca="1">IF(B79&lt;$K$10,$L$12,-$J$37-SUM($J$39:J78))</f>
        <v>0</v>
      </c>
      <c r="K79" s="43">
        <f ca="1">ROUND(($K$9-SUM($J$39:J78))*(($K$14/(IF(ROUND(YEAR(E78)/4,0)-YEAR(E78)/4=0,366,365)))*F79)+($K$9-SUM($J$39:J78))*(($K$14/(IF(ROUND(YEAR(E79)/4,0)-YEAR(E79)/4=0,366,365)))*G79),2)</f>
        <v>0</v>
      </c>
      <c r="L79" s="2">
        <f t="shared" si="20"/>
        <v>0</v>
      </c>
      <c r="M79" s="38"/>
      <c r="N79" s="38"/>
      <c r="O79" s="38"/>
      <c r="P79" s="40"/>
      <c r="Q79" s="40"/>
      <c r="R79" s="40"/>
      <c r="S79" s="40"/>
      <c r="T79" s="40"/>
      <c r="U79" s="40"/>
      <c r="V79" s="32" t="s">
        <v>0</v>
      </c>
      <c r="W79" s="32" t="s">
        <v>0</v>
      </c>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row>
    <row r="80" spans="1:51" s="9" customFormat="1" ht="12.95" hidden="1" customHeight="1">
      <c r="A80" s="31">
        <f t="shared" si="19"/>
        <v>0</v>
      </c>
      <c r="B80" s="10">
        <f t="shared" si="21"/>
        <v>42</v>
      </c>
      <c r="C80" s="10"/>
      <c r="D80" s="32">
        <f t="shared" si="22"/>
        <v>42</v>
      </c>
      <c r="E80" s="59">
        <f t="shared" ca="1" si="23"/>
        <v>45977</v>
      </c>
      <c r="F80" s="42">
        <f t="shared" ca="1" si="24"/>
        <v>15</v>
      </c>
      <c r="G80" s="42">
        <f t="shared" ca="1" si="25"/>
        <v>16</v>
      </c>
      <c r="H80" s="41">
        <f t="shared" ca="1" si="17"/>
        <v>0</v>
      </c>
      <c r="I80" s="43">
        <f t="shared" ca="1" si="18"/>
        <v>0</v>
      </c>
      <c r="J80" s="43">
        <f ca="1">IF(B80&lt;$K$10,$L$12,-$J$37-SUM($J$39:J79))</f>
        <v>0</v>
      </c>
      <c r="K80" s="43">
        <f ca="1">ROUND(($K$9-SUM($J$39:J79))*(($K$14/(IF(ROUND(YEAR(E79)/4,0)-YEAR(E79)/4=0,366,365)))*F80)+($K$9-SUM($J$39:J79))*(($K$14/(IF(ROUND(YEAR(E80)/4,0)-YEAR(E80)/4=0,366,365)))*G80),2)</f>
        <v>0</v>
      </c>
      <c r="L80" s="2">
        <f t="shared" si="20"/>
        <v>0</v>
      </c>
      <c r="M80" s="38"/>
      <c r="N80" s="38"/>
      <c r="O80" s="38"/>
      <c r="P80" s="40"/>
      <c r="Q80" s="40"/>
      <c r="R80" s="40"/>
      <c r="S80" s="40"/>
      <c r="T80" s="40"/>
      <c r="U80" s="40"/>
      <c r="V80" s="32" t="s">
        <v>0</v>
      </c>
      <c r="W80" s="32" t="s">
        <v>0</v>
      </c>
      <c r="X80" s="10"/>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row>
    <row r="81" spans="1:51" s="9" customFormat="1" ht="12.95" hidden="1" customHeight="1">
      <c r="A81" s="31">
        <f t="shared" si="19"/>
        <v>0</v>
      </c>
      <c r="B81" s="10">
        <f t="shared" si="21"/>
        <v>43</v>
      </c>
      <c r="C81" s="10"/>
      <c r="D81" s="32">
        <f t="shared" si="22"/>
        <v>43</v>
      </c>
      <c r="E81" s="59">
        <f t="shared" ca="1" si="23"/>
        <v>46007</v>
      </c>
      <c r="F81" s="42">
        <f t="shared" ca="1" si="24"/>
        <v>14</v>
      </c>
      <c r="G81" s="42">
        <f t="shared" ca="1" si="25"/>
        <v>16</v>
      </c>
      <c r="H81" s="41">
        <f t="shared" ca="1" si="17"/>
        <v>0</v>
      </c>
      <c r="I81" s="43">
        <f t="shared" ca="1" si="18"/>
        <v>0</v>
      </c>
      <c r="J81" s="43">
        <f ca="1">IF(B81&lt;$K$10,$L$12,-$J$37-SUM($J$39:J80))</f>
        <v>0</v>
      </c>
      <c r="K81" s="43">
        <f ca="1">ROUND(($K$9-SUM($J$39:J80))*(($K$14/(IF(ROUND(YEAR(E80)/4,0)-YEAR(E80)/4=0,366,365)))*F81)+($K$9-SUM($J$39:J80))*(($K$14/(IF(ROUND(YEAR(E81)/4,0)-YEAR(E81)/4=0,366,365)))*G81),2)</f>
        <v>0</v>
      </c>
      <c r="L81" s="2">
        <f t="shared" si="20"/>
        <v>0</v>
      </c>
      <c r="M81" s="38"/>
      <c r="N81" s="38"/>
      <c r="O81" s="38"/>
      <c r="P81" s="40"/>
      <c r="Q81" s="40"/>
      <c r="R81" s="40"/>
      <c r="S81" s="40"/>
      <c r="T81" s="40"/>
      <c r="U81" s="40"/>
      <c r="V81" s="32" t="s">
        <v>0</v>
      </c>
      <c r="W81" s="32" t="s">
        <v>0</v>
      </c>
      <c r="X81" s="10"/>
      <c r="Y81" s="10"/>
      <c r="Z81" s="10"/>
      <c r="AA81" s="10"/>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row>
    <row r="82" spans="1:51" s="9" customFormat="1" ht="12.95" hidden="1" customHeight="1">
      <c r="A82" s="31">
        <f t="shared" si="19"/>
        <v>0</v>
      </c>
      <c r="B82" s="10">
        <f t="shared" si="21"/>
        <v>44</v>
      </c>
      <c r="C82" s="10"/>
      <c r="D82" s="32">
        <f t="shared" si="22"/>
        <v>44</v>
      </c>
      <c r="E82" s="59">
        <f t="shared" ca="1" si="23"/>
        <v>46038</v>
      </c>
      <c r="F82" s="42">
        <f t="shared" ca="1" si="24"/>
        <v>15</v>
      </c>
      <c r="G82" s="42">
        <f t="shared" ca="1" si="25"/>
        <v>16</v>
      </c>
      <c r="H82" s="41">
        <f t="shared" ca="1" si="17"/>
        <v>0</v>
      </c>
      <c r="I82" s="43">
        <f t="shared" ca="1" si="18"/>
        <v>0</v>
      </c>
      <c r="J82" s="43">
        <f ca="1">IF(B82&lt;$K$10,$L$12,-$J$37-SUM($J$39:J81))</f>
        <v>0</v>
      </c>
      <c r="K82" s="43">
        <f ca="1">ROUND(($K$9-SUM($J$39:J81))*(($K$14/(IF(ROUND(YEAR(E81)/4,0)-YEAR(E81)/4=0,366,365)))*F82)+($K$9-SUM($J$39:J81))*(($K$14/(IF(ROUND(YEAR(E82)/4,0)-YEAR(E82)/4=0,366,365)))*G82),2)</f>
        <v>0</v>
      </c>
      <c r="L82" s="2">
        <f t="shared" si="20"/>
        <v>0</v>
      </c>
      <c r="M82" s="38"/>
      <c r="N82" s="38"/>
      <c r="O82" s="38"/>
      <c r="P82" s="40"/>
      <c r="Q82" s="40"/>
      <c r="R82" s="40"/>
      <c r="S82" s="40"/>
      <c r="T82" s="40"/>
      <c r="U82" s="40"/>
      <c r="V82" s="32" t="s">
        <v>0</v>
      </c>
      <c r="W82" s="32" t="s">
        <v>0</v>
      </c>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row>
    <row r="83" spans="1:51" s="9" customFormat="1" ht="12.95" hidden="1" customHeight="1">
      <c r="A83" s="31">
        <f t="shared" si="19"/>
        <v>0</v>
      </c>
      <c r="B83" s="10">
        <f t="shared" si="21"/>
        <v>45</v>
      </c>
      <c r="C83" s="10"/>
      <c r="D83" s="32">
        <f t="shared" si="22"/>
        <v>45</v>
      </c>
      <c r="E83" s="59">
        <f t="shared" ca="1" si="23"/>
        <v>46069</v>
      </c>
      <c r="F83" s="42">
        <f t="shared" ca="1" si="24"/>
        <v>15</v>
      </c>
      <c r="G83" s="42">
        <f t="shared" ca="1" si="25"/>
        <v>16</v>
      </c>
      <c r="H83" s="41">
        <f t="shared" ca="1" si="17"/>
        <v>0</v>
      </c>
      <c r="I83" s="43">
        <f t="shared" ca="1" si="18"/>
        <v>0</v>
      </c>
      <c r="J83" s="43">
        <f ca="1">IF(B83&lt;$K$10,$L$12,-$J$37-SUM($J$39:J82))</f>
        <v>0</v>
      </c>
      <c r="K83" s="43">
        <f ca="1">ROUND(($K$9-SUM($J$39:J82))*(($K$14/(IF(ROUND(YEAR(E82)/4,0)-YEAR(E82)/4=0,366,365)))*F83)+($K$9-SUM($J$39:J82))*(($K$14/(IF(ROUND(YEAR(E83)/4,0)-YEAR(E83)/4=0,366,365)))*G83),2)</f>
        <v>0</v>
      </c>
      <c r="L83" s="2">
        <f t="shared" si="20"/>
        <v>0</v>
      </c>
      <c r="M83" s="38"/>
      <c r="N83" s="38"/>
      <c r="O83" s="38"/>
      <c r="P83" s="40"/>
      <c r="Q83" s="40"/>
      <c r="R83" s="40"/>
      <c r="S83" s="40"/>
      <c r="T83" s="40"/>
      <c r="U83" s="40"/>
      <c r="V83" s="32" t="s">
        <v>0</v>
      </c>
      <c r="W83" s="32" t="s">
        <v>0</v>
      </c>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row>
    <row r="84" spans="1:51" s="9" customFormat="1" ht="12.95" hidden="1" customHeight="1">
      <c r="A84" s="31">
        <f t="shared" si="19"/>
        <v>0</v>
      </c>
      <c r="B84" s="10">
        <f t="shared" si="21"/>
        <v>46</v>
      </c>
      <c r="C84" s="10"/>
      <c r="D84" s="32">
        <f t="shared" si="22"/>
        <v>46</v>
      </c>
      <c r="E84" s="59">
        <f t="shared" ca="1" si="23"/>
        <v>46097</v>
      </c>
      <c r="F84" s="42">
        <f t="shared" ca="1" si="24"/>
        <v>12</v>
      </c>
      <c r="G84" s="42">
        <f t="shared" ca="1" si="25"/>
        <v>16</v>
      </c>
      <c r="H84" s="41">
        <f t="shared" ref="H84:H110" ca="1" si="26">IF(E84=1,G84-G83,0)</f>
        <v>0</v>
      </c>
      <c r="I84" s="43">
        <f t="shared" ca="1" si="18"/>
        <v>0</v>
      </c>
      <c r="J84" s="43">
        <f ca="1">IF(B84&lt;$K$10,$L$12,-$J$37-SUM($J$39:J83))</f>
        <v>0</v>
      </c>
      <c r="K84" s="43">
        <f ca="1">ROUND(($K$9-SUM($J$39:J83))*(($K$14/(IF(ROUND(YEAR(E83)/4,0)-YEAR(E83)/4=0,366,365)))*F84)+($K$9-SUM($J$39:J83))*(($K$14/(IF(ROUND(YEAR(E84)/4,0)-YEAR(E84)/4=0,366,365)))*G84),2)</f>
        <v>0</v>
      </c>
      <c r="L84" s="2">
        <f t="shared" si="20"/>
        <v>0</v>
      </c>
      <c r="M84" s="38"/>
      <c r="N84" s="38"/>
      <c r="O84" s="38"/>
      <c r="P84" s="40"/>
      <c r="Q84" s="40"/>
      <c r="R84" s="40"/>
      <c r="S84" s="40"/>
      <c r="T84" s="40"/>
      <c r="U84" s="40"/>
      <c r="V84" s="32" t="s">
        <v>0</v>
      </c>
      <c r="W84" s="32" t="s">
        <v>0</v>
      </c>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row>
    <row r="85" spans="1:51" s="9" customFormat="1" ht="12.95" hidden="1" customHeight="1">
      <c r="A85" s="31">
        <f t="shared" si="19"/>
        <v>0</v>
      </c>
      <c r="B85" s="10">
        <f t="shared" si="21"/>
        <v>47</v>
      </c>
      <c r="C85" s="10"/>
      <c r="D85" s="32">
        <f t="shared" si="22"/>
        <v>47</v>
      </c>
      <c r="E85" s="59">
        <f t="shared" ca="1" si="23"/>
        <v>46128</v>
      </c>
      <c r="F85" s="42">
        <f t="shared" ca="1" si="24"/>
        <v>15</v>
      </c>
      <c r="G85" s="42">
        <f t="shared" ca="1" si="25"/>
        <v>16</v>
      </c>
      <c r="H85" s="41">
        <f t="shared" ca="1" si="26"/>
        <v>0</v>
      </c>
      <c r="I85" s="43">
        <f t="shared" ca="1" si="18"/>
        <v>0</v>
      </c>
      <c r="J85" s="43">
        <f ca="1">IF(B85&lt;$K$10,$L$12,-$J$37-SUM($J$39:J84))</f>
        <v>0</v>
      </c>
      <c r="K85" s="43">
        <f ca="1">ROUND(($K$9-SUM($J$39:J84))*(($K$14/(IF(ROUND(YEAR(E84)/4,0)-YEAR(E84)/4=0,366,365)))*F85)+($K$9-SUM($J$39:J84))*(($K$14/(IF(ROUND(YEAR(E85)/4,0)-YEAR(E85)/4=0,366,365)))*G85),2)</f>
        <v>0</v>
      </c>
      <c r="L85" s="2">
        <f t="shared" si="20"/>
        <v>0</v>
      </c>
      <c r="M85" s="38"/>
      <c r="N85" s="38"/>
      <c r="O85" s="38"/>
      <c r="P85" s="40"/>
      <c r="Q85" s="40"/>
      <c r="R85" s="40"/>
      <c r="S85" s="40"/>
      <c r="T85" s="40"/>
      <c r="U85" s="40"/>
      <c r="V85" s="32" t="s">
        <v>0</v>
      </c>
      <c r="W85" s="32" t="s">
        <v>0</v>
      </c>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row>
    <row r="86" spans="1:51" s="9" customFormat="1" ht="12.95" hidden="1" customHeight="1">
      <c r="A86" s="31">
        <f t="shared" si="19"/>
        <v>0</v>
      </c>
      <c r="B86" s="10">
        <f t="shared" si="21"/>
        <v>48</v>
      </c>
      <c r="C86" s="10"/>
      <c r="D86" s="32">
        <f t="shared" si="22"/>
        <v>48</v>
      </c>
      <c r="E86" s="59">
        <f t="shared" ca="1" si="23"/>
        <v>46158</v>
      </c>
      <c r="F86" s="42">
        <f t="shared" ca="1" si="24"/>
        <v>14</v>
      </c>
      <c r="G86" s="42">
        <f t="shared" ca="1" si="25"/>
        <v>16</v>
      </c>
      <c r="H86" s="41">
        <f t="shared" ca="1" si="26"/>
        <v>0</v>
      </c>
      <c r="I86" s="43">
        <f t="shared" ca="1" si="18"/>
        <v>0</v>
      </c>
      <c r="J86" s="43">
        <f ca="1">IF(B86&lt;$K$10,$L$12,-$J$37-SUM($J$39:J85))</f>
        <v>0</v>
      </c>
      <c r="K86" s="43">
        <f ca="1">ROUND(($K$9-SUM($J$39:J85))*(($K$14/(IF(ROUND(YEAR(E85)/4,0)-YEAR(E85)/4=0,366,365)))*F86)+($K$9-SUM($J$39:J85))*(($K$14/(IF(ROUND(YEAR(E86)/4,0)-YEAR(E86)/4=0,366,365)))*G86),2)</f>
        <v>0</v>
      </c>
      <c r="L86" s="2">
        <f t="shared" si="20"/>
        <v>0</v>
      </c>
      <c r="M86" s="38"/>
      <c r="N86" s="38"/>
      <c r="O86" s="40">
        <f>IF(B86&lt;$K$10,$K$9*$K$19,0)</f>
        <v>0</v>
      </c>
      <c r="P86" s="40"/>
      <c r="Q86" s="40"/>
      <c r="R86" s="40"/>
      <c r="S86" s="40"/>
      <c r="T86" s="40">
        <f>IF(B86&lt;$K$10,$K$8*$K$22,0)</f>
        <v>0</v>
      </c>
      <c r="U86" s="40"/>
      <c r="V86" s="32" t="s">
        <v>0</v>
      </c>
      <c r="W86" s="32" t="s">
        <v>0</v>
      </c>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row>
    <row r="87" spans="1:51" s="9" customFormat="1" ht="12.95" hidden="1" customHeight="1">
      <c r="A87" s="31">
        <f t="shared" si="19"/>
        <v>0</v>
      </c>
      <c r="B87" s="10">
        <f t="shared" si="21"/>
        <v>49</v>
      </c>
      <c r="C87" s="10"/>
      <c r="D87" s="32">
        <f t="shared" si="22"/>
        <v>49</v>
      </c>
      <c r="E87" s="59">
        <f t="shared" ca="1" si="23"/>
        <v>46189</v>
      </c>
      <c r="F87" s="42">
        <f t="shared" ca="1" si="24"/>
        <v>15</v>
      </c>
      <c r="G87" s="42">
        <f t="shared" ca="1" si="25"/>
        <v>16</v>
      </c>
      <c r="H87" s="41">
        <f t="shared" ca="1" si="26"/>
        <v>0</v>
      </c>
      <c r="I87" s="43">
        <f t="shared" ca="1" si="18"/>
        <v>0</v>
      </c>
      <c r="J87" s="43">
        <f ca="1">IF(B87&lt;$K$10,$L$12,-$J$37-SUM($J$39:J86))</f>
        <v>0</v>
      </c>
      <c r="K87" s="43">
        <f ca="1">ROUND(($K$9-SUM($J$39:J86))*(($K$14/(IF(ROUND(YEAR(E86)/4,0)-YEAR(E86)/4=0,366,365)))*F87)+($K$9-SUM($J$39:J86))*(($K$14/(IF(ROUND(YEAR(E87)/4,0)-YEAR(E87)/4=0,366,365)))*G87),2)</f>
        <v>0</v>
      </c>
      <c r="L87" s="2">
        <f t="shared" si="20"/>
        <v>0</v>
      </c>
      <c r="M87" s="38"/>
      <c r="N87" s="38"/>
      <c r="O87" s="38"/>
      <c r="P87" s="40"/>
      <c r="Q87" s="40"/>
      <c r="R87" s="40"/>
      <c r="S87" s="40"/>
      <c r="T87" s="40"/>
      <c r="U87" s="40"/>
      <c r="V87" s="32" t="s">
        <v>0</v>
      </c>
      <c r="W87" s="32" t="s">
        <v>0</v>
      </c>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row>
    <row r="88" spans="1:51" s="9" customFormat="1" ht="12.95" hidden="1" customHeight="1">
      <c r="A88" s="31">
        <f t="shared" si="19"/>
        <v>0</v>
      </c>
      <c r="B88" s="10">
        <f t="shared" si="21"/>
        <v>50</v>
      </c>
      <c r="C88" s="10"/>
      <c r="D88" s="32">
        <f t="shared" si="22"/>
        <v>50</v>
      </c>
      <c r="E88" s="59">
        <f t="shared" ca="1" si="23"/>
        <v>46219</v>
      </c>
      <c r="F88" s="42">
        <f t="shared" ca="1" si="24"/>
        <v>14</v>
      </c>
      <c r="G88" s="42">
        <f t="shared" ca="1" si="25"/>
        <v>16</v>
      </c>
      <c r="H88" s="41">
        <f t="shared" ca="1" si="26"/>
        <v>0</v>
      </c>
      <c r="I88" s="43">
        <f t="shared" ca="1" si="18"/>
        <v>0</v>
      </c>
      <c r="J88" s="43">
        <f ca="1">IF(B88&lt;$K$10,$L$12,-$J$37-SUM($J$39:J87))</f>
        <v>0</v>
      </c>
      <c r="K88" s="43">
        <f ca="1">ROUND(($K$9-SUM($J$39:J87))*(($K$14/(IF(ROUND(YEAR(E87)/4,0)-YEAR(E87)/4=0,366,365)))*F88)+($K$9-SUM($J$39:J87))*(($K$14/(IF(ROUND(YEAR(E88)/4,0)-YEAR(E88)/4=0,366,365)))*G88),2)</f>
        <v>0</v>
      </c>
      <c r="L88" s="2">
        <f t="shared" si="20"/>
        <v>0</v>
      </c>
      <c r="M88" s="38"/>
      <c r="N88" s="38"/>
      <c r="O88" s="38"/>
      <c r="P88" s="40"/>
      <c r="Q88" s="40"/>
      <c r="R88" s="40"/>
      <c r="S88" s="40"/>
      <c r="T88" s="40"/>
      <c r="U88" s="40"/>
      <c r="V88" s="32" t="s">
        <v>0</v>
      </c>
      <c r="W88" s="32" t="s">
        <v>0</v>
      </c>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row>
    <row r="89" spans="1:51" s="9" customFormat="1" ht="12.95" hidden="1" customHeight="1">
      <c r="A89" s="31">
        <f t="shared" si="19"/>
        <v>0</v>
      </c>
      <c r="B89" s="10">
        <f t="shared" si="21"/>
        <v>51</v>
      </c>
      <c r="C89" s="10"/>
      <c r="D89" s="32">
        <f t="shared" si="22"/>
        <v>51</v>
      </c>
      <c r="E89" s="59">
        <f t="shared" ca="1" si="23"/>
        <v>46250</v>
      </c>
      <c r="F89" s="42">
        <f t="shared" ca="1" si="24"/>
        <v>15</v>
      </c>
      <c r="G89" s="42">
        <f t="shared" ca="1" si="25"/>
        <v>16</v>
      </c>
      <c r="H89" s="41">
        <f t="shared" ca="1" si="26"/>
        <v>0</v>
      </c>
      <c r="I89" s="43">
        <f t="shared" ca="1" si="18"/>
        <v>0</v>
      </c>
      <c r="J89" s="43">
        <f ca="1">IF(B89&lt;$K$10,$L$12,-$J$37-SUM($J$39:J88))</f>
        <v>0</v>
      </c>
      <c r="K89" s="43">
        <f ca="1">ROUND(($K$9-SUM($J$39:J88))*(($K$14/(IF(ROUND(YEAR(E88)/4,0)-YEAR(E88)/4=0,366,365)))*F89)+($K$9-SUM($J$39:J88))*(($K$14/(IF(ROUND(YEAR(E89)/4,0)-YEAR(E89)/4=0,366,365)))*G89),2)</f>
        <v>0</v>
      </c>
      <c r="L89" s="2">
        <f t="shared" si="20"/>
        <v>0</v>
      </c>
      <c r="M89" s="38"/>
      <c r="N89" s="38"/>
      <c r="O89" s="38"/>
      <c r="P89" s="40"/>
      <c r="Q89" s="40"/>
      <c r="R89" s="40"/>
      <c r="S89" s="40"/>
      <c r="T89" s="40"/>
      <c r="U89" s="40"/>
      <c r="V89" s="32" t="s">
        <v>0</v>
      </c>
      <c r="W89" s="32" t="s">
        <v>0</v>
      </c>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row>
    <row r="90" spans="1:51" s="9" customFormat="1" ht="12.95" hidden="1" customHeight="1">
      <c r="A90" s="31">
        <f t="shared" si="19"/>
        <v>0</v>
      </c>
      <c r="B90" s="10">
        <f t="shared" si="21"/>
        <v>52</v>
      </c>
      <c r="C90" s="10"/>
      <c r="D90" s="32">
        <f t="shared" si="22"/>
        <v>52</v>
      </c>
      <c r="E90" s="59">
        <f t="shared" ca="1" si="23"/>
        <v>46281</v>
      </c>
      <c r="F90" s="42">
        <f t="shared" ca="1" si="24"/>
        <v>15</v>
      </c>
      <c r="G90" s="42">
        <f t="shared" ca="1" si="25"/>
        <v>16</v>
      </c>
      <c r="H90" s="41">
        <f t="shared" ca="1" si="26"/>
        <v>0</v>
      </c>
      <c r="I90" s="43">
        <f t="shared" ca="1" si="18"/>
        <v>0</v>
      </c>
      <c r="J90" s="43">
        <f ca="1">IF(B90&lt;$K$10,$L$12,-$J$37-SUM($J$39:J89))</f>
        <v>0</v>
      </c>
      <c r="K90" s="43">
        <f ca="1">ROUND(($K$9-SUM($J$39:J89))*(($K$14/(IF(ROUND(YEAR(E89)/4,0)-YEAR(E89)/4=0,366,365)))*F90)+($K$9-SUM($J$39:J89))*(($K$14/(IF(ROUND(YEAR(E90)/4,0)-YEAR(E90)/4=0,366,365)))*G90),2)</f>
        <v>0</v>
      </c>
      <c r="L90" s="2">
        <f t="shared" si="20"/>
        <v>0</v>
      </c>
      <c r="M90" s="38"/>
      <c r="N90" s="38"/>
      <c r="O90" s="38"/>
      <c r="P90" s="40"/>
      <c r="Q90" s="40"/>
      <c r="R90" s="40"/>
      <c r="S90" s="40"/>
      <c r="T90" s="40"/>
      <c r="U90" s="40"/>
      <c r="V90" s="32" t="s">
        <v>0</v>
      </c>
      <c r="W90" s="32" t="s">
        <v>0</v>
      </c>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row>
    <row r="91" spans="1:51" s="9" customFormat="1" ht="12.95" hidden="1" customHeight="1">
      <c r="A91" s="31">
        <f t="shared" si="19"/>
        <v>0</v>
      </c>
      <c r="B91" s="10">
        <f t="shared" si="21"/>
        <v>53</v>
      </c>
      <c r="C91" s="10"/>
      <c r="D91" s="32">
        <f t="shared" si="22"/>
        <v>53</v>
      </c>
      <c r="E91" s="59">
        <f t="shared" ca="1" si="23"/>
        <v>46311</v>
      </c>
      <c r="F91" s="42">
        <f t="shared" ca="1" si="24"/>
        <v>14</v>
      </c>
      <c r="G91" s="42">
        <f t="shared" ca="1" si="25"/>
        <v>16</v>
      </c>
      <c r="H91" s="41">
        <f t="shared" ca="1" si="26"/>
        <v>0</v>
      </c>
      <c r="I91" s="43">
        <f t="shared" ca="1" si="18"/>
        <v>0</v>
      </c>
      <c r="J91" s="43">
        <f ca="1">IF(B91&lt;$K$10,$L$12,-$J$37-SUM($J$39:J90))</f>
        <v>0</v>
      </c>
      <c r="K91" s="43">
        <f ca="1">ROUND(($K$9-SUM($J$39:J90))*(($K$14/(IF(ROUND(YEAR(E90)/4,0)-YEAR(E90)/4=0,366,365)))*F91)+($K$9-SUM($J$39:J90))*(($K$14/(IF(ROUND(YEAR(E91)/4,0)-YEAR(E91)/4=0,366,365)))*G91),2)</f>
        <v>0</v>
      </c>
      <c r="L91" s="2">
        <f t="shared" si="20"/>
        <v>0</v>
      </c>
      <c r="M91" s="38"/>
      <c r="N91" s="38"/>
      <c r="O91" s="38"/>
      <c r="P91" s="40"/>
      <c r="Q91" s="40"/>
      <c r="R91" s="40"/>
      <c r="S91" s="40"/>
      <c r="T91" s="40"/>
      <c r="U91" s="40"/>
      <c r="V91" s="32" t="s">
        <v>0</v>
      </c>
      <c r="W91" s="32" t="s">
        <v>0</v>
      </c>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row>
    <row r="92" spans="1:51" s="9" customFormat="1" ht="12.95" hidden="1" customHeight="1">
      <c r="A92" s="31">
        <f t="shared" si="19"/>
        <v>0</v>
      </c>
      <c r="B92" s="10">
        <f t="shared" si="21"/>
        <v>54</v>
      </c>
      <c r="C92" s="10"/>
      <c r="D92" s="32">
        <f t="shared" si="22"/>
        <v>54</v>
      </c>
      <c r="E92" s="59">
        <f t="shared" ca="1" si="23"/>
        <v>46342</v>
      </c>
      <c r="F92" s="42">
        <f t="shared" ca="1" si="24"/>
        <v>15</v>
      </c>
      <c r="G92" s="42">
        <f t="shared" ca="1" si="25"/>
        <v>16</v>
      </c>
      <c r="H92" s="41">
        <f t="shared" ca="1" si="26"/>
        <v>0</v>
      </c>
      <c r="I92" s="43">
        <f t="shared" ca="1" si="18"/>
        <v>0</v>
      </c>
      <c r="J92" s="43">
        <f ca="1">IF(B92&lt;$K$10,$L$12,-$J$37-SUM($J$39:J91))</f>
        <v>0</v>
      </c>
      <c r="K92" s="43">
        <f ca="1">ROUND(($K$9-SUM($J$39:J91))*(($K$14/(IF(ROUND(YEAR(E91)/4,0)-YEAR(E91)/4=0,366,365)))*F92)+($K$9-SUM($J$39:J91))*(($K$14/(IF(ROUND(YEAR(E92)/4,0)-YEAR(E92)/4=0,366,365)))*G92),2)</f>
        <v>0</v>
      </c>
      <c r="L92" s="2">
        <f t="shared" si="20"/>
        <v>0</v>
      </c>
      <c r="M92" s="38"/>
      <c r="N92" s="38"/>
      <c r="O92" s="38"/>
      <c r="P92" s="40"/>
      <c r="Q92" s="40"/>
      <c r="R92" s="40"/>
      <c r="S92" s="40"/>
      <c r="T92" s="40"/>
      <c r="U92" s="40"/>
      <c r="V92" s="32" t="s">
        <v>0</v>
      </c>
      <c r="W92" s="32" t="s">
        <v>0</v>
      </c>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row>
    <row r="93" spans="1:51" s="9" customFormat="1" ht="12.95" hidden="1" customHeight="1">
      <c r="A93" s="31">
        <f t="shared" si="19"/>
        <v>0</v>
      </c>
      <c r="B93" s="10">
        <f t="shared" si="21"/>
        <v>55</v>
      </c>
      <c r="C93" s="10"/>
      <c r="D93" s="32">
        <f t="shared" si="22"/>
        <v>55</v>
      </c>
      <c r="E93" s="59">
        <f t="shared" ca="1" si="23"/>
        <v>46372</v>
      </c>
      <c r="F93" s="42">
        <f t="shared" ca="1" si="24"/>
        <v>14</v>
      </c>
      <c r="G93" s="42">
        <f t="shared" ca="1" si="25"/>
        <v>16</v>
      </c>
      <c r="H93" s="41">
        <f t="shared" ca="1" si="26"/>
        <v>0</v>
      </c>
      <c r="I93" s="43">
        <f t="shared" ca="1" si="18"/>
        <v>0</v>
      </c>
      <c r="J93" s="43">
        <f ca="1">IF(B93&lt;$K$10,$L$12,-$J$37-SUM($J$39:J92))</f>
        <v>0</v>
      </c>
      <c r="K93" s="43">
        <f ca="1">ROUND(($K$9-SUM($J$39:J92))*(($K$14/(IF(ROUND(YEAR(E92)/4,0)-YEAR(E92)/4=0,366,365)))*F93)+($K$9-SUM($J$39:J92))*(($K$14/(IF(ROUND(YEAR(E93)/4,0)-YEAR(E93)/4=0,366,365)))*G93),2)</f>
        <v>0</v>
      </c>
      <c r="L93" s="2">
        <f t="shared" si="20"/>
        <v>0</v>
      </c>
      <c r="M93" s="38"/>
      <c r="N93" s="38"/>
      <c r="O93" s="38"/>
      <c r="P93" s="40"/>
      <c r="Q93" s="40"/>
      <c r="R93" s="40"/>
      <c r="S93" s="40"/>
      <c r="T93" s="40"/>
      <c r="U93" s="40"/>
      <c r="V93" s="32" t="s">
        <v>0</v>
      </c>
      <c r="W93" s="32" t="s">
        <v>0</v>
      </c>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row>
    <row r="94" spans="1:51" s="9" customFormat="1" ht="12.95" hidden="1" customHeight="1">
      <c r="A94" s="31">
        <f t="shared" si="19"/>
        <v>0</v>
      </c>
      <c r="B94" s="10">
        <f t="shared" si="21"/>
        <v>56</v>
      </c>
      <c r="C94" s="10"/>
      <c r="D94" s="32">
        <f t="shared" si="22"/>
        <v>56</v>
      </c>
      <c r="E94" s="59">
        <f t="shared" ca="1" si="23"/>
        <v>46403</v>
      </c>
      <c r="F94" s="42">
        <f t="shared" ca="1" si="24"/>
        <v>15</v>
      </c>
      <c r="G94" s="42">
        <f t="shared" ca="1" si="25"/>
        <v>16</v>
      </c>
      <c r="H94" s="41">
        <f t="shared" ca="1" si="26"/>
        <v>0</v>
      </c>
      <c r="I94" s="43">
        <f t="shared" ca="1" si="18"/>
        <v>0</v>
      </c>
      <c r="J94" s="43">
        <f ca="1">IF(B94&lt;$K$10,$L$12,-$J$37-SUM($J$39:J93))</f>
        <v>0</v>
      </c>
      <c r="K94" s="43">
        <f ca="1">ROUND(($K$9-SUM($J$39:J93))*(($K$14/(IF(ROUND(YEAR(E93)/4,0)-YEAR(E93)/4=0,366,365)))*F94)+($K$9-SUM($J$39:J93))*(($K$14/(IF(ROUND(YEAR(E94)/4,0)-YEAR(E94)/4=0,366,365)))*G94),2)</f>
        <v>0</v>
      </c>
      <c r="L94" s="2">
        <f t="shared" si="20"/>
        <v>0</v>
      </c>
      <c r="M94" s="38"/>
      <c r="N94" s="38"/>
      <c r="O94" s="38"/>
      <c r="P94" s="40"/>
      <c r="Q94" s="40"/>
      <c r="R94" s="40"/>
      <c r="S94" s="40"/>
      <c r="T94" s="40"/>
      <c r="U94" s="40"/>
      <c r="V94" s="32" t="s">
        <v>0</v>
      </c>
      <c r="W94" s="32" t="s">
        <v>0</v>
      </c>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row>
    <row r="95" spans="1:51" s="9" customFormat="1" ht="12.95" hidden="1" customHeight="1">
      <c r="A95" s="31">
        <f t="shared" si="19"/>
        <v>0</v>
      </c>
      <c r="B95" s="10">
        <f t="shared" si="21"/>
        <v>57</v>
      </c>
      <c r="C95" s="10"/>
      <c r="D95" s="32">
        <f t="shared" si="22"/>
        <v>57</v>
      </c>
      <c r="E95" s="59">
        <f t="shared" ca="1" si="23"/>
        <v>46434</v>
      </c>
      <c r="F95" s="42">
        <f t="shared" ca="1" si="24"/>
        <v>15</v>
      </c>
      <c r="G95" s="42">
        <f t="shared" ca="1" si="25"/>
        <v>16</v>
      </c>
      <c r="H95" s="41">
        <f t="shared" ca="1" si="26"/>
        <v>0</v>
      </c>
      <c r="I95" s="43">
        <f t="shared" ca="1" si="18"/>
        <v>0</v>
      </c>
      <c r="J95" s="43">
        <f ca="1">IF(B95&lt;$K$10,$L$12,-$J$37-SUM($J$39:J94))</f>
        <v>0</v>
      </c>
      <c r="K95" s="43">
        <f ca="1">ROUND(($K$9-SUM($J$39:J94))*(($K$14/(IF(ROUND(YEAR(E94)/4,0)-YEAR(E94)/4=0,366,365)))*F95)+($K$9-SUM($J$39:J94))*(($K$14/(IF(ROUND(YEAR(E95)/4,0)-YEAR(E95)/4=0,366,365)))*G95),2)</f>
        <v>0</v>
      </c>
      <c r="L95" s="2">
        <f t="shared" si="20"/>
        <v>0</v>
      </c>
      <c r="M95" s="38"/>
      <c r="N95" s="38"/>
      <c r="O95" s="38"/>
      <c r="P95" s="40"/>
      <c r="Q95" s="40"/>
      <c r="R95" s="40"/>
      <c r="S95" s="40"/>
      <c r="T95" s="40"/>
      <c r="U95" s="40"/>
      <c r="V95" s="32" t="s">
        <v>0</v>
      </c>
      <c r="W95" s="32" t="s">
        <v>0</v>
      </c>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row>
    <row r="96" spans="1:51" s="9" customFormat="1" ht="12.95" hidden="1" customHeight="1">
      <c r="A96" s="31">
        <f t="shared" si="19"/>
        <v>0</v>
      </c>
      <c r="B96" s="10">
        <f t="shared" si="21"/>
        <v>58</v>
      </c>
      <c r="C96" s="10"/>
      <c r="D96" s="32">
        <f t="shared" si="22"/>
        <v>58</v>
      </c>
      <c r="E96" s="59">
        <f t="shared" ca="1" si="23"/>
        <v>46462</v>
      </c>
      <c r="F96" s="42">
        <f t="shared" ca="1" si="24"/>
        <v>12</v>
      </c>
      <c r="G96" s="42">
        <f t="shared" ca="1" si="25"/>
        <v>16</v>
      </c>
      <c r="H96" s="41">
        <f t="shared" ca="1" si="26"/>
        <v>0</v>
      </c>
      <c r="I96" s="43">
        <f t="shared" ca="1" si="18"/>
        <v>0</v>
      </c>
      <c r="J96" s="43">
        <f ca="1">IF(B96&lt;$K$10,$L$12,-$J$37-SUM($J$39:J95))</f>
        <v>0</v>
      </c>
      <c r="K96" s="43">
        <f ca="1">ROUND(($K$9-SUM($J$39:J95))*(($K$14/(IF(ROUND(YEAR(E95)/4,0)-YEAR(E95)/4=0,366,365)))*F96)+($K$9-SUM($J$39:J95))*(($K$14/(IF(ROUND(YEAR(E96)/4,0)-YEAR(E96)/4=0,366,365)))*G96),2)</f>
        <v>0</v>
      </c>
      <c r="L96" s="2">
        <f t="shared" si="20"/>
        <v>0</v>
      </c>
      <c r="M96" s="38"/>
      <c r="N96" s="38"/>
      <c r="O96" s="38"/>
      <c r="P96" s="40"/>
      <c r="Q96" s="40"/>
      <c r="R96" s="40"/>
      <c r="S96" s="40"/>
      <c r="T96" s="40"/>
      <c r="U96" s="40"/>
      <c r="V96" s="32" t="s">
        <v>0</v>
      </c>
      <c r="W96" s="32" t="s">
        <v>0</v>
      </c>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row>
    <row r="97" spans="1:51" s="9" customFormat="1" ht="12.95" hidden="1" customHeight="1">
      <c r="A97" s="31">
        <f t="shared" si="19"/>
        <v>0</v>
      </c>
      <c r="B97" s="10">
        <f t="shared" si="21"/>
        <v>59</v>
      </c>
      <c r="C97" s="10"/>
      <c r="D97" s="32">
        <f t="shared" si="22"/>
        <v>59</v>
      </c>
      <c r="E97" s="59">
        <f t="shared" ca="1" si="23"/>
        <v>46493</v>
      </c>
      <c r="F97" s="42">
        <f t="shared" ca="1" si="24"/>
        <v>15</v>
      </c>
      <c r="G97" s="42">
        <f t="shared" ca="1" si="25"/>
        <v>16</v>
      </c>
      <c r="H97" s="41">
        <f t="shared" ca="1" si="26"/>
        <v>0</v>
      </c>
      <c r="I97" s="43">
        <f t="shared" ca="1" si="18"/>
        <v>0</v>
      </c>
      <c r="J97" s="43">
        <f ca="1">IF(B97&lt;$K$10,$L$12,-$J$37-SUM($J$39:J96))</f>
        <v>0</v>
      </c>
      <c r="K97" s="43">
        <f ca="1">ROUND(($K$9-SUM($J$39:J96))*(($K$14/(IF(ROUND(YEAR(E96)/4,0)-YEAR(E96)/4=0,366,365)))*F97)+($K$9-SUM($J$39:J96))*(($K$14/(IF(ROUND(YEAR(E97)/4,0)-YEAR(E97)/4=0,366,365)))*G97),2)</f>
        <v>0</v>
      </c>
      <c r="L97" s="2">
        <f t="shared" si="20"/>
        <v>0</v>
      </c>
      <c r="M97" s="38"/>
      <c r="N97" s="38"/>
      <c r="O97" s="38"/>
      <c r="P97" s="40"/>
      <c r="Q97" s="40"/>
      <c r="R97" s="40"/>
      <c r="S97" s="40"/>
      <c r="T97" s="40"/>
      <c r="U97" s="40"/>
      <c r="V97" s="32" t="s">
        <v>0</v>
      </c>
      <c r="W97" s="32" t="s">
        <v>0</v>
      </c>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row>
    <row r="98" spans="1:51" s="9" customFormat="1" ht="12.95" hidden="1" customHeight="1">
      <c r="A98" s="31">
        <f t="shared" si="19"/>
        <v>0</v>
      </c>
      <c r="B98" s="10">
        <f t="shared" si="21"/>
        <v>60</v>
      </c>
      <c r="C98" s="10"/>
      <c r="D98" s="32">
        <f t="shared" si="22"/>
        <v>60</v>
      </c>
      <c r="E98" s="59">
        <f t="shared" ca="1" si="23"/>
        <v>46523</v>
      </c>
      <c r="F98" s="42">
        <f t="shared" ca="1" si="24"/>
        <v>14</v>
      </c>
      <c r="G98" s="42">
        <f t="shared" ca="1" si="25"/>
        <v>16</v>
      </c>
      <c r="H98" s="41">
        <f t="shared" ca="1" si="26"/>
        <v>0</v>
      </c>
      <c r="I98" s="43">
        <f t="shared" ca="1" si="18"/>
        <v>0</v>
      </c>
      <c r="J98" s="43">
        <f ca="1">IF(B98&lt;$K$10,$L$12,-$J$37-SUM($J$39:J97))</f>
        <v>0</v>
      </c>
      <c r="K98" s="43">
        <f ca="1">ROUND(($K$9-SUM($J$39:J97))*(($K$14/(IF(ROUND(YEAR(E97)/4,0)-YEAR(E97)/4=0,366,365)))*F98)+($K$9-SUM($J$39:J97))*(($K$14/(IF(ROUND(YEAR(E98)/4,0)-YEAR(E98)/4=0,366,365)))*G98),2)</f>
        <v>0</v>
      </c>
      <c r="L98" s="2">
        <f t="shared" si="20"/>
        <v>0</v>
      </c>
      <c r="M98" s="38"/>
      <c r="N98" s="38"/>
      <c r="O98" s="40">
        <f>IF(B98&lt;$K$10,$K$9*$K$19,0)</f>
        <v>0</v>
      </c>
      <c r="P98" s="40"/>
      <c r="Q98" s="40"/>
      <c r="R98" s="40"/>
      <c r="S98" s="40"/>
      <c r="T98" s="40">
        <f>IF(B98&lt;$K$10,$K$8*$K$22,0)</f>
        <v>0</v>
      </c>
      <c r="U98" s="40"/>
      <c r="V98" s="32" t="s">
        <v>0</v>
      </c>
      <c r="W98" s="32" t="s">
        <v>0</v>
      </c>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row>
    <row r="99" spans="1:51" s="9" customFormat="1" ht="12.95" hidden="1" customHeight="1">
      <c r="A99" s="31">
        <f t="shared" si="19"/>
        <v>0</v>
      </c>
      <c r="B99" s="10">
        <f t="shared" si="21"/>
        <v>61</v>
      </c>
      <c r="C99" s="10"/>
      <c r="D99" s="32">
        <f t="shared" si="22"/>
        <v>61</v>
      </c>
      <c r="E99" s="59">
        <f t="shared" ca="1" si="23"/>
        <v>46554</v>
      </c>
      <c r="F99" s="42">
        <f t="shared" ca="1" si="24"/>
        <v>15</v>
      </c>
      <c r="G99" s="42">
        <f t="shared" ca="1" si="25"/>
        <v>16</v>
      </c>
      <c r="H99" s="41">
        <f t="shared" ca="1" si="26"/>
        <v>0</v>
      </c>
      <c r="I99" s="43">
        <f t="shared" ca="1" si="18"/>
        <v>0</v>
      </c>
      <c r="J99" s="43">
        <f ca="1">IF(B99&lt;$K$10,$L$12,-$J$37-SUM($J$39:J98))</f>
        <v>0</v>
      </c>
      <c r="K99" s="43">
        <f ca="1">ROUND(($K$9-SUM($J$39:J98))*(($K$14/(IF(ROUND(YEAR(E98)/4,0)-YEAR(E98)/4=0,366,365)))*F99)+($K$9-SUM($J$39:J98))*(($K$14/(IF(ROUND(YEAR(E99)/4,0)-YEAR(E99)/4=0,366,365)))*G99),2)</f>
        <v>0</v>
      </c>
      <c r="L99" s="2">
        <f t="shared" si="20"/>
        <v>0</v>
      </c>
      <c r="M99" s="38"/>
      <c r="N99" s="38"/>
      <c r="O99" s="38"/>
      <c r="P99" s="40"/>
      <c r="Q99" s="40"/>
      <c r="R99" s="40"/>
      <c r="S99" s="40"/>
      <c r="T99" s="40"/>
      <c r="U99" s="40"/>
      <c r="V99" s="32" t="s">
        <v>0</v>
      </c>
      <c r="W99" s="32" t="s">
        <v>0</v>
      </c>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row>
    <row r="100" spans="1:51" s="9" customFormat="1" ht="12.95" hidden="1" customHeight="1">
      <c r="A100" s="31">
        <f t="shared" si="19"/>
        <v>0</v>
      </c>
      <c r="B100" s="10">
        <f t="shared" si="21"/>
        <v>62</v>
      </c>
      <c r="C100" s="10"/>
      <c r="D100" s="32">
        <f t="shared" si="22"/>
        <v>62</v>
      </c>
      <c r="E100" s="59">
        <f t="shared" ca="1" si="23"/>
        <v>46584</v>
      </c>
      <c r="F100" s="42">
        <f t="shared" ca="1" si="24"/>
        <v>14</v>
      </c>
      <c r="G100" s="42">
        <f t="shared" ca="1" si="25"/>
        <v>16</v>
      </c>
      <c r="H100" s="41">
        <f t="shared" ca="1" si="26"/>
        <v>0</v>
      </c>
      <c r="I100" s="43">
        <f t="shared" ca="1" si="18"/>
        <v>0</v>
      </c>
      <c r="J100" s="43">
        <f ca="1">IF(B100&lt;$K$10,$L$12,-$J$37-SUM($J$39:J99))</f>
        <v>0</v>
      </c>
      <c r="K100" s="43">
        <f ca="1">ROUND(($K$9-SUM($J$39:J99))*(($K$14/(IF(ROUND(YEAR(E99)/4,0)-YEAR(E99)/4=0,366,365)))*F100)+($K$9-SUM($J$39:J99))*(($K$14/(IF(ROUND(YEAR(E100)/4,0)-YEAR(E100)/4=0,366,365)))*G100),2)</f>
        <v>0</v>
      </c>
      <c r="L100" s="2">
        <f t="shared" si="20"/>
        <v>0</v>
      </c>
      <c r="M100" s="38"/>
      <c r="N100" s="38"/>
      <c r="O100" s="38"/>
      <c r="P100" s="40"/>
      <c r="Q100" s="40"/>
      <c r="R100" s="40"/>
      <c r="S100" s="40"/>
      <c r="T100" s="40"/>
      <c r="U100" s="40"/>
      <c r="V100" s="32" t="s">
        <v>0</v>
      </c>
      <c r="W100" s="32" t="s">
        <v>0</v>
      </c>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row>
    <row r="101" spans="1:51" s="9" customFormat="1" ht="12.95" hidden="1" customHeight="1">
      <c r="A101" s="31">
        <f t="shared" si="19"/>
        <v>0</v>
      </c>
      <c r="B101" s="10">
        <f t="shared" si="21"/>
        <v>63</v>
      </c>
      <c r="C101" s="10"/>
      <c r="D101" s="32">
        <f t="shared" si="22"/>
        <v>63</v>
      </c>
      <c r="E101" s="59">
        <f t="shared" ca="1" si="23"/>
        <v>46615</v>
      </c>
      <c r="F101" s="42">
        <f t="shared" ca="1" si="24"/>
        <v>15</v>
      </c>
      <c r="G101" s="42">
        <f t="shared" ca="1" si="25"/>
        <v>16</v>
      </c>
      <c r="H101" s="41">
        <f t="shared" ca="1" si="26"/>
        <v>0</v>
      </c>
      <c r="I101" s="43">
        <f t="shared" ca="1" si="18"/>
        <v>0</v>
      </c>
      <c r="J101" s="43">
        <f ca="1">IF(B101&lt;$K$10,$L$12,-$J$37-SUM($J$39:J100))</f>
        <v>0</v>
      </c>
      <c r="K101" s="43">
        <f ca="1">ROUND(($K$9-SUM($J$39:J100))*(($K$14/(IF(ROUND(YEAR(E100)/4,0)-YEAR(E100)/4=0,366,365)))*F101)+($K$9-SUM($J$39:J100))*(($K$14/(IF(ROUND(YEAR(E101)/4,0)-YEAR(E101)/4=0,366,365)))*G101),2)</f>
        <v>0</v>
      </c>
      <c r="L101" s="2">
        <f t="shared" si="20"/>
        <v>0</v>
      </c>
      <c r="M101" s="38"/>
      <c r="N101" s="38"/>
      <c r="O101" s="38"/>
      <c r="P101" s="40"/>
      <c r="Q101" s="40"/>
      <c r="R101" s="40"/>
      <c r="S101" s="40"/>
      <c r="T101" s="40"/>
      <c r="U101" s="40"/>
      <c r="V101" s="32" t="s">
        <v>0</v>
      </c>
      <c r="W101" s="32" t="s">
        <v>0</v>
      </c>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row>
    <row r="102" spans="1:51" s="9" customFormat="1" ht="12.95" hidden="1" customHeight="1">
      <c r="A102" s="31">
        <f t="shared" si="19"/>
        <v>0</v>
      </c>
      <c r="B102" s="10">
        <f t="shared" si="21"/>
        <v>64</v>
      </c>
      <c r="C102" s="10"/>
      <c r="D102" s="32">
        <f t="shared" si="22"/>
        <v>64</v>
      </c>
      <c r="E102" s="59">
        <f t="shared" ca="1" si="23"/>
        <v>46646</v>
      </c>
      <c r="F102" s="42">
        <f t="shared" ca="1" si="24"/>
        <v>15</v>
      </c>
      <c r="G102" s="42">
        <f t="shared" ca="1" si="25"/>
        <v>16</v>
      </c>
      <c r="H102" s="41">
        <f t="shared" ca="1" si="26"/>
        <v>0</v>
      </c>
      <c r="I102" s="43">
        <f t="shared" ref="I102:I110" ca="1" si="27">SUM(J102:O102)</f>
        <v>0</v>
      </c>
      <c r="J102" s="43">
        <f ca="1">IF(B102&lt;$K$10,$L$12,-$J$37-SUM($J$39:J101))</f>
        <v>0</v>
      </c>
      <c r="K102" s="43">
        <f ca="1">ROUND(($K$9-SUM($J$39:J101))*(($K$14/(IF(ROUND(YEAR(E101)/4,0)-YEAR(E101)/4=0,366,365)))*F102)+($K$9-SUM($J$39:J101))*(($K$14/(IF(ROUND(YEAR(E102)/4,0)-YEAR(E102)/4=0,366,365)))*G102),2)</f>
        <v>0</v>
      </c>
      <c r="L102" s="2">
        <f t="shared" si="20"/>
        <v>0</v>
      </c>
      <c r="M102" s="38"/>
      <c r="N102" s="38"/>
      <c r="O102" s="38"/>
      <c r="P102" s="40"/>
      <c r="Q102" s="40"/>
      <c r="R102" s="40"/>
      <c r="S102" s="40"/>
      <c r="T102" s="40"/>
      <c r="U102" s="40"/>
      <c r="V102" s="32" t="s">
        <v>0</v>
      </c>
      <c r="W102" s="32" t="s">
        <v>0</v>
      </c>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row>
    <row r="103" spans="1:51" s="9" customFormat="1" ht="12.95" hidden="1" customHeight="1">
      <c r="A103" s="31">
        <f t="shared" ref="A103:A110" si="28">IF(B103&lt;=$K$10,1,0)</f>
        <v>0</v>
      </c>
      <c r="B103" s="10">
        <f t="shared" si="21"/>
        <v>65</v>
      </c>
      <c r="C103" s="10"/>
      <c r="D103" s="32">
        <f t="shared" si="22"/>
        <v>65</v>
      </c>
      <c r="E103" s="59">
        <f t="shared" ca="1" si="23"/>
        <v>46676</v>
      </c>
      <c r="F103" s="42">
        <f t="shared" ca="1" si="24"/>
        <v>14</v>
      </c>
      <c r="G103" s="42">
        <f t="shared" ca="1" si="25"/>
        <v>16</v>
      </c>
      <c r="H103" s="41">
        <f t="shared" ca="1" si="26"/>
        <v>0</v>
      </c>
      <c r="I103" s="43">
        <f t="shared" ca="1" si="27"/>
        <v>0</v>
      </c>
      <c r="J103" s="43">
        <f ca="1">IF(B103&lt;$K$10,$L$12,-$J$37-SUM($J$39:J102))</f>
        <v>0</v>
      </c>
      <c r="K103" s="43">
        <f ca="1">ROUND(($K$9-SUM($J$39:J102))*(($K$14/(IF(ROUND(YEAR(E102)/4,0)-YEAR(E102)/4=0,366,365)))*F103)+($K$9-SUM($J$39:J102))*(($K$14/(IF(ROUND(YEAR(E103)/4,0)-YEAR(E103)/4=0,366,365)))*G103),2)</f>
        <v>0</v>
      </c>
      <c r="L103" s="2">
        <f t="shared" ref="L103:L110" si="29">IF(A103=1,IF(AND(YEAR($K$11)=YEAR(EDATE(E102,1)),MONTH($K$11)=MONTH(EDATE(E102,1))),$O$18-$O$42,$O$18),0)</f>
        <v>0</v>
      </c>
      <c r="M103" s="38"/>
      <c r="N103" s="38"/>
      <c r="O103" s="38"/>
      <c r="P103" s="40"/>
      <c r="Q103" s="40"/>
      <c r="R103" s="40"/>
      <c r="S103" s="40"/>
      <c r="T103" s="40"/>
      <c r="U103" s="40"/>
      <c r="V103" s="32" t="s">
        <v>0</v>
      </c>
      <c r="W103" s="32" t="s">
        <v>0</v>
      </c>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row>
    <row r="104" spans="1:51" s="9" customFormat="1" ht="12.95" hidden="1" customHeight="1">
      <c r="A104" s="31">
        <f t="shared" si="28"/>
        <v>0</v>
      </c>
      <c r="B104" s="10">
        <f t="shared" ref="B104:B110" si="30">B103+1</f>
        <v>66</v>
      </c>
      <c r="C104" s="10"/>
      <c r="D104" s="32">
        <f t="shared" ref="D104:D110" si="31">D103+1</f>
        <v>66</v>
      </c>
      <c r="E104" s="59">
        <f t="shared" ref="E104:E110" ca="1" si="32">IF(AND(YEAR($K$11)=YEAR(EDATE(E103,1)),MONTH($K$11)=MONTH(EDATE(E103,1))),$K$11,EDATE(E103,1))</f>
        <v>46707</v>
      </c>
      <c r="F104" s="42">
        <f t="shared" ref="F104:F110" ca="1" si="33">EOMONTH(E103,0)-E103</f>
        <v>15</v>
      </c>
      <c r="G104" s="42">
        <f t="shared" ref="G104:G110" ca="1" si="34">E104-EOMONTH(E103,0)</f>
        <v>16</v>
      </c>
      <c r="H104" s="41">
        <f t="shared" ca="1" si="26"/>
        <v>0</v>
      </c>
      <c r="I104" s="43">
        <f t="shared" ca="1" si="27"/>
        <v>0</v>
      </c>
      <c r="J104" s="43">
        <f ca="1">IF(B104&lt;$K$10,$L$12,-$J$37-SUM($J$39:J103))</f>
        <v>0</v>
      </c>
      <c r="K104" s="43">
        <f ca="1">ROUND(($K$9-SUM($J$39:J103))*(($K$14/(IF(ROUND(YEAR(E103)/4,0)-YEAR(E103)/4=0,366,365)))*F104)+($K$9-SUM($J$39:J103))*(($K$14/(IF(ROUND(YEAR(E104)/4,0)-YEAR(E104)/4=0,366,365)))*G104),2)</f>
        <v>0</v>
      </c>
      <c r="L104" s="2">
        <f t="shared" si="29"/>
        <v>0</v>
      </c>
      <c r="M104" s="38"/>
      <c r="N104" s="38"/>
      <c r="O104" s="38"/>
      <c r="P104" s="40"/>
      <c r="Q104" s="40"/>
      <c r="R104" s="40"/>
      <c r="S104" s="40"/>
      <c r="T104" s="40"/>
      <c r="U104" s="40"/>
      <c r="V104" s="32" t="s">
        <v>0</v>
      </c>
      <c r="W104" s="32" t="s">
        <v>0</v>
      </c>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row>
    <row r="105" spans="1:51" s="9" customFormat="1" ht="12.95" hidden="1" customHeight="1">
      <c r="A105" s="31">
        <f t="shared" si="28"/>
        <v>0</v>
      </c>
      <c r="B105" s="10">
        <f t="shared" si="30"/>
        <v>67</v>
      </c>
      <c r="C105" s="10"/>
      <c r="D105" s="32">
        <f t="shared" si="31"/>
        <v>67</v>
      </c>
      <c r="E105" s="59">
        <f t="shared" ca="1" si="32"/>
        <v>46737</v>
      </c>
      <c r="F105" s="42">
        <f t="shared" ca="1" si="33"/>
        <v>14</v>
      </c>
      <c r="G105" s="42">
        <f t="shared" ca="1" si="34"/>
        <v>16</v>
      </c>
      <c r="H105" s="41">
        <f t="shared" ca="1" si="26"/>
        <v>0</v>
      </c>
      <c r="I105" s="43">
        <f t="shared" ca="1" si="27"/>
        <v>0</v>
      </c>
      <c r="J105" s="43">
        <f ca="1">IF(B105&lt;$K$10,$L$12,-$J$37-SUM($J$39:J104))</f>
        <v>0</v>
      </c>
      <c r="K105" s="43">
        <f ca="1">ROUND(($K$9-SUM($J$39:J104))*(($K$14/(IF(ROUND(YEAR(E104)/4,0)-YEAR(E104)/4=0,366,365)))*F105)+($K$9-SUM($J$39:J104))*(($K$14/(IF(ROUND(YEAR(E105)/4,0)-YEAR(E105)/4=0,366,365)))*G105),2)</f>
        <v>0</v>
      </c>
      <c r="L105" s="2">
        <f t="shared" si="29"/>
        <v>0</v>
      </c>
      <c r="M105" s="38"/>
      <c r="N105" s="38"/>
      <c r="O105" s="38"/>
      <c r="P105" s="40"/>
      <c r="Q105" s="40"/>
      <c r="R105" s="40"/>
      <c r="S105" s="40"/>
      <c r="T105" s="40"/>
      <c r="U105" s="40"/>
      <c r="V105" s="32" t="s">
        <v>0</v>
      </c>
      <c r="W105" s="32" t="s">
        <v>0</v>
      </c>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row>
    <row r="106" spans="1:51" s="9" customFormat="1" ht="12.95" hidden="1" customHeight="1">
      <c r="A106" s="31">
        <f t="shared" si="28"/>
        <v>0</v>
      </c>
      <c r="B106" s="10">
        <f t="shared" si="30"/>
        <v>68</v>
      </c>
      <c r="C106" s="10"/>
      <c r="D106" s="32">
        <f t="shared" si="31"/>
        <v>68</v>
      </c>
      <c r="E106" s="59">
        <f t="shared" ca="1" si="32"/>
        <v>46768</v>
      </c>
      <c r="F106" s="42">
        <f t="shared" ca="1" si="33"/>
        <v>15</v>
      </c>
      <c r="G106" s="42">
        <f t="shared" ca="1" si="34"/>
        <v>16</v>
      </c>
      <c r="H106" s="41">
        <f t="shared" ca="1" si="26"/>
        <v>0</v>
      </c>
      <c r="I106" s="43">
        <f t="shared" ca="1" si="27"/>
        <v>0</v>
      </c>
      <c r="J106" s="43">
        <f ca="1">IF(B106&lt;$K$10,$L$12,-$J$37-SUM($J$39:J105))</f>
        <v>0</v>
      </c>
      <c r="K106" s="43">
        <f ca="1">ROUND(($K$9-SUM($J$39:J105))*(($K$14/(IF(ROUND(YEAR(E105)/4,0)-YEAR(E105)/4=0,366,365)))*F106)+($K$9-SUM($J$39:J105))*(($K$14/(IF(ROUND(YEAR(E106)/4,0)-YEAR(E106)/4=0,366,365)))*G106),2)</f>
        <v>0</v>
      </c>
      <c r="L106" s="2">
        <f t="shared" si="29"/>
        <v>0</v>
      </c>
      <c r="M106" s="38"/>
      <c r="N106" s="38"/>
      <c r="O106" s="38"/>
      <c r="P106" s="40"/>
      <c r="Q106" s="40"/>
      <c r="R106" s="40"/>
      <c r="S106" s="40"/>
      <c r="T106" s="40"/>
      <c r="U106" s="40"/>
      <c r="V106" s="32" t="s">
        <v>0</v>
      </c>
      <c r="W106" s="32" t="s">
        <v>0</v>
      </c>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row>
    <row r="107" spans="1:51" s="9" customFormat="1" ht="12.95" hidden="1" customHeight="1">
      <c r="A107" s="31">
        <f t="shared" si="28"/>
        <v>0</v>
      </c>
      <c r="B107" s="10">
        <f t="shared" si="30"/>
        <v>69</v>
      </c>
      <c r="C107" s="10"/>
      <c r="D107" s="32">
        <f t="shared" si="31"/>
        <v>69</v>
      </c>
      <c r="E107" s="59">
        <f t="shared" ca="1" si="32"/>
        <v>46799</v>
      </c>
      <c r="F107" s="42">
        <f t="shared" ca="1" si="33"/>
        <v>15</v>
      </c>
      <c r="G107" s="42">
        <f t="shared" ca="1" si="34"/>
        <v>16</v>
      </c>
      <c r="H107" s="41">
        <f t="shared" ca="1" si="26"/>
        <v>0</v>
      </c>
      <c r="I107" s="43">
        <f t="shared" ca="1" si="27"/>
        <v>0</v>
      </c>
      <c r="J107" s="43">
        <f ca="1">IF(B107&lt;$K$10,$L$12,-$J$37-SUM($J$39:J106))</f>
        <v>0</v>
      </c>
      <c r="K107" s="43">
        <f ca="1">ROUND(($K$9-SUM($J$39:J106))*(($K$14/(IF(ROUND(YEAR(E106)/4,0)-YEAR(E106)/4=0,366,365)))*F107)+($K$9-SUM($J$39:J106))*(($K$14/(IF(ROUND(YEAR(E107)/4,0)-YEAR(E107)/4=0,366,365)))*G107),2)</f>
        <v>0</v>
      </c>
      <c r="L107" s="2">
        <f t="shared" si="29"/>
        <v>0</v>
      </c>
      <c r="M107" s="38"/>
      <c r="N107" s="38"/>
      <c r="O107" s="38"/>
      <c r="P107" s="40"/>
      <c r="Q107" s="40"/>
      <c r="R107" s="40"/>
      <c r="S107" s="40"/>
      <c r="T107" s="40"/>
      <c r="U107" s="40"/>
      <c r="V107" s="32" t="s">
        <v>0</v>
      </c>
      <c r="W107" s="32" t="s">
        <v>0</v>
      </c>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row>
    <row r="108" spans="1:51" s="9" customFormat="1" ht="12.95" hidden="1" customHeight="1">
      <c r="A108" s="31">
        <f t="shared" si="28"/>
        <v>0</v>
      </c>
      <c r="B108" s="10">
        <f t="shared" si="30"/>
        <v>70</v>
      </c>
      <c r="C108" s="10"/>
      <c r="D108" s="32">
        <f t="shared" si="31"/>
        <v>70</v>
      </c>
      <c r="E108" s="59">
        <f t="shared" ca="1" si="32"/>
        <v>46828</v>
      </c>
      <c r="F108" s="42">
        <f t="shared" ca="1" si="33"/>
        <v>13</v>
      </c>
      <c r="G108" s="42">
        <f t="shared" ca="1" si="34"/>
        <v>16</v>
      </c>
      <c r="H108" s="41">
        <f t="shared" ca="1" si="26"/>
        <v>0</v>
      </c>
      <c r="I108" s="43">
        <f t="shared" ca="1" si="27"/>
        <v>0</v>
      </c>
      <c r="J108" s="43">
        <f ca="1">IF(B108&lt;$K$10,$L$12,-$J$37-SUM($J$39:J107))</f>
        <v>0</v>
      </c>
      <c r="K108" s="43">
        <f ca="1">ROUND(($K$9-SUM($J$39:J107))*(($K$14/(IF(ROUND(YEAR(E107)/4,0)-YEAR(E107)/4=0,366,365)))*F108)+($K$9-SUM($J$39:J107))*(($K$14/(IF(ROUND(YEAR(E108)/4,0)-YEAR(E108)/4=0,366,365)))*G108),2)</f>
        <v>0</v>
      </c>
      <c r="L108" s="2">
        <f t="shared" si="29"/>
        <v>0</v>
      </c>
      <c r="M108" s="38"/>
      <c r="N108" s="38"/>
      <c r="O108" s="38"/>
      <c r="P108" s="40"/>
      <c r="Q108" s="40"/>
      <c r="R108" s="40"/>
      <c r="S108" s="40"/>
      <c r="T108" s="40"/>
      <c r="U108" s="40"/>
      <c r="V108" s="32" t="s">
        <v>0</v>
      </c>
      <c r="W108" s="32" t="s">
        <v>0</v>
      </c>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row>
    <row r="109" spans="1:51" s="9" customFormat="1" ht="12.95" hidden="1" customHeight="1">
      <c r="A109" s="31">
        <f t="shared" si="28"/>
        <v>0</v>
      </c>
      <c r="B109" s="10">
        <f t="shared" si="30"/>
        <v>71</v>
      </c>
      <c r="C109" s="10"/>
      <c r="D109" s="32">
        <f t="shared" si="31"/>
        <v>71</v>
      </c>
      <c r="E109" s="59">
        <f t="shared" ca="1" si="32"/>
        <v>46859</v>
      </c>
      <c r="F109" s="42">
        <f t="shared" ca="1" si="33"/>
        <v>15</v>
      </c>
      <c r="G109" s="42">
        <f t="shared" ca="1" si="34"/>
        <v>16</v>
      </c>
      <c r="H109" s="41">
        <f t="shared" ca="1" si="26"/>
        <v>0</v>
      </c>
      <c r="I109" s="43">
        <f t="shared" ca="1" si="27"/>
        <v>0</v>
      </c>
      <c r="J109" s="43">
        <f ca="1">IF(B109&lt;$K$10,$L$12,-$J$37-SUM($J$39:J108))</f>
        <v>0</v>
      </c>
      <c r="K109" s="43">
        <f ca="1">ROUND(($K$9-SUM($J$39:J108))*(($K$14/(IF(ROUND(YEAR(E108)/4,0)-YEAR(E108)/4=0,366,365)))*F109)+($K$9-SUM($J$39:J108))*(($K$14/(IF(ROUND(YEAR(E109)/4,0)-YEAR(E109)/4=0,366,365)))*G109),2)</f>
        <v>0</v>
      </c>
      <c r="L109" s="2">
        <f t="shared" si="29"/>
        <v>0</v>
      </c>
      <c r="M109" s="38"/>
      <c r="N109" s="38"/>
      <c r="O109" s="38"/>
      <c r="P109" s="40"/>
      <c r="Q109" s="40"/>
      <c r="R109" s="40"/>
      <c r="S109" s="40"/>
      <c r="T109" s="40"/>
      <c r="U109" s="40"/>
      <c r="V109" s="32" t="s">
        <v>0</v>
      </c>
      <c r="W109" s="32" t="s">
        <v>0</v>
      </c>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row>
    <row r="110" spans="1:51" s="9" customFormat="1" ht="12.95" hidden="1" customHeight="1">
      <c r="A110" s="31">
        <f t="shared" si="28"/>
        <v>0</v>
      </c>
      <c r="B110" s="10">
        <f t="shared" si="30"/>
        <v>72</v>
      </c>
      <c r="C110" s="10"/>
      <c r="D110" s="32">
        <f t="shared" si="31"/>
        <v>72</v>
      </c>
      <c r="E110" s="59">
        <f t="shared" ca="1" si="32"/>
        <v>46889</v>
      </c>
      <c r="F110" s="42">
        <f t="shared" ca="1" si="33"/>
        <v>14</v>
      </c>
      <c r="G110" s="42">
        <f t="shared" ca="1" si="34"/>
        <v>16</v>
      </c>
      <c r="H110" s="41">
        <f t="shared" ca="1" si="26"/>
        <v>0</v>
      </c>
      <c r="I110" s="43">
        <f t="shared" ca="1" si="27"/>
        <v>0</v>
      </c>
      <c r="J110" s="43">
        <f ca="1">IF(B110&lt;$K$10,$L$12,-$J$37-SUM($J$39:J109))</f>
        <v>0</v>
      </c>
      <c r="K110" s="43">
        <f ca="1">ROUND(($K$9-SUM($J$39:J109))*(($K$14/(IF(ROUND(YEAR(E109)/4,0)-YEAR(E109)/4=0,366,365)))*F110)+($K$9-SUM($J$39:J109))*(($K$14/(IF(ROUND(YEAR(E110)/4,0)-YEAR(E110)/4=0,366,365)))*G110),2)</f>
        <v>0</v>
      </c>
      <c r="L110" s="2">
        <f t="shared" si="29"/>
        <v>0</v>
      </c>
      <c r="M110" s="38"/>
      <c r="N110" s="38"/>
      <c r="O110" s="38"/>
      <c r="P110" s="40"/>
      <c r="Q110" s="40"/>
      <c r="R110" s="40"/>
      <c r="S110" s="40"/>
      <c r="T110" s="40"/>
      <c r="U110" s="40"/>
      <c r="V110" s="32" t="s">
        <v>0</v>
      </c>
      <c r="W110" s="32" t="s">
        <v>0</v>
      </c>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row>
    <row r="111" spans="1:51" s="9" customFormat="1" ht="12.95" customHeight="1">
      <c r="A111" s="31">
        <v>1</v>
      </c>
      <c r="B111" s="94"/>
      <c r="C111" s="94"/>
      <c r="D111" s="44" t="s">
        <v>1</v>
      </c>
      <c r="E111" s="32" t="s">
        <v>0</v>
      </c>
      <c r="F111" s="46"/>
      <c r="G111" s="46"/>
      <c r="H111" s="45">
        <f ca="1">SUM(H39:H74)</f>
        <v>364</v>
      </c>
      <c r="I111" s="43">
        <f ca="1">SUM(I39:I110)</f>
        <v>14391.509999999998</v>
      </c>
      <c r="J111" s="43">
        <f ca="1">SUM(J39:J110)</f>
        <v>10000</v>
      </c>
      <c r="K111" s="43">
        <f ca="1">SUM(K39:K110)</f>
        <v>3091.5099999999998</v>
      </c>
      <c r="L111" s="43">
        <f ca="1">SUM(L39:L110)</f>
        <v>1300</v>
      </c>
      <c r="M111" s="43">
        <f t="shared" ref="M111:U111" si="35">SUM(M37:M110)</f>
        <v>0</v>
      </c>
      <c r="N111" s="43">
        <f t="shared" si="35"/>
        <v>0</v>
      </c>
      <c r="O111" s="43">
        <f t="shared" si="35"/>
        <v>0</v>
      </c>
      <c r="P111" s="43">
        <f t="shared" si="35"/>
        <v>0</v>
      </c>
      <c r="Q111" s="43">
        <f t="shared" si="35"/>
        <v>0</v>
      </c>
      <c r="R111" s="43">
        <f t="shared" si="35"/>
        <v>0</v>
      </c>
      <c r="S111" s="43">
        <f t="shared" si="35"/>
        <v>0</v>
      </c>
      <c r="T111" s="43">
        <f t="shared" si="35"/>
        <v>0</v>
      </c>
      <c r="U111" s="43">
        <f t="shared" si="35"/>
        <v>0</v>
      </c>
      <c r="V111" s="61">
        <f ca="1">XIRR(I37:I110,E37:E110)</f>
        <v>0.53892154097557088</v>
      </c>
      <c r="W111" s="47">
        <f ca="1">SUM(J111:U111)</f>
        <v>14391.51</v>
      </c>
      <c r="X111" s="48"/>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row>
    <row r="112" spans="1:51" s="9" customFormat="1" ht="12">
      <c r="A112" s="10">
        <v>1</v>
      </c>
      <c r="B112" s="10"/>
      <c r="C112" s="10"/>
      <c r="D112" s="11"/>
      <c r="E112" s="86"/>
      <c r="F112" s="10"/>
      <c r="G112" s="10"/>
      <c r="O112" s="11"/>
      <c r="P112" s="11"/>
      <c r="Q112" s="11"/>
      <c r="R112" s="11"/>
      <c r="S112" s="11"/>
      <c r="T112" s="11"/>
      <c r="U112" s="11"/>
      <c r="V112" s="11"/>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row>
    <row r="113" spans="1:51" s="9" customFormat="1" ht="27" customHeight="1">
      <c r="A113" s="10">
        <v>1</v>
      </c>
      <c r="B113" s="49"/>
      <c r="C113" s="49"/>
      <c r="D113" s="66"/>
      <c r="E113" s="66"/>
      <c r="F113" s="100"/>
      <c r="G113" s="100"/>
      <c r="H113" s="66"/>
      <c r="I113" s="66"/>
      <c r="J113" s="66"/>
      <c r="K113" s="66"/>
      <c r="L113" s="66"/>
      <c r="M113" s="66"/>
      <c r="N113" s="66"/>
      <c r="O113" s="66"/>
      <c r="P113" s="66"/>
      <c r="Q113" s="66"/>
      <c r="R113" s="66"/>
      <c r="S113" s="66"/>
      <c r="T113" s="66"/>
      <c r="U113" s="66"/>
      <c r="V113" s="66"/>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row>
    <row r="114" spans="1:51" s="9" customFormat="1" ht="42.75" customHeight="1">
      <c r="A114" s="10">
        <v>1</v>
      </c>
      <c r="B114" s="49"/>
      <c r="C114" s="49"/>
      <c r="D114" s="154" t="s">
        <v>49</v>
      </c>
      <c r="E114" s="154"/>
      <c r="F114" s="155"/>
      <c r="G114" s="155"/>
      <c r="H114" s="154"/>
      <c r="I114" s="154"/>
      <c r="J114" s="154"/>
      <c r="K114" s="154"/>
      <c r="L114" s="154"/>
      <c r="M114" s="154"/>
      <c r="N114" s="154"/>
      <c r="O114" s="154"/>
      <c r="P114" s="154"/>
      <c r="Q114" s="157">
        <f ca="1">SUBTOTAL(9,K111:U111)</f>
        <v>4391.51</v>
      </c>
      <c r="R114" s="157"/>
      <c r="S114" s="66"/>
      <c r="T114" s="66"/>
      <c r="U114" s="66"/>
      <c r="V114" s="66"/>
      <c r="W114" s="8"/>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row>
    <row r="115" spans="1:51" s="9" customFormat="1" ht="42.75" customHeight="1">
      <c r="A115" s="10">
        <v>1</v>
      </c>
      <c r="B115" s="49"/>
      <c r="C115" s="49"/>
      <c r="D115" s="154" t="s">
        <v>40</v>
      </c>
      <c r="E115" s="154"/>
      <c r="F115" s="156"/>
      <c r="G115" s="156"/>
      <c r="H115" s="154"/>
      <c r="I115" s="154"/>
      <c r="J115" s="154"/>
      <c r="K115" s="154"/>
      <c r="L115" s="154"/>
      <c r="M115" s="154"/>
      <c r="N115" s="154"/>
      <c r="O115" s="154"/>
      <c r="P115" s="154"/>
      <c r="Q115" s="158">
        <f ca="1">W111</f>
        <v>14391.51</v>
      </c>
      <c r="R115" s="157"/>
      <c r="S115" s="98"/>
      <c r="T115" s="98"/>
      <c r="U115" s="98"/>
      <c r="V115" s="98"/>
      <c r="W115" s="12"/>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row>
    <row r="116" spans="1:51" s="9" customFormat="1" ht="42.75" customHeight="1">
      <c r="A116" s="10">
        <v>1</v>
      </c>
      <c r="B116" s="49"/>
      <c r="C116" s="49"/>
      <c r="D116" s="154" t="s">
        <v>50</v>
      </c>
      <c r="E116" s="154"/>
      <c r="F116" s="156"/>
      <c r="G116" s="156"/>
      <c r="H116" s="154"/>
      <c r="I116" s="154"/>
      <c r="J116" s="154"/>
      <c r="K116" s="154"/>
      <c r="L116" s="154"/>
      <c r="M116" s="154"/>
      <c r="N116" s="154"/>
      <c r="O116" s="154"/>
      <c r="P116" s="154"/>
      <c r="Q116" s="159">
        <f ca="1">W111/K10</f>
        <v>1199.2925</v>
      </c>
      <c r="R116" s="159"/>
      <c r="S116" s="98"/>
      <c r="T116" s="98"/>
      <c r="U116" s="98"/>
      <c r="V116" s="98"/>
      <c r="W116" s="12"/>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row>
    <row r="117" spans="1:51" s="9" customFormat="1" ht="31.5" customHeight="1">
      <c r="A117" s="10">
        <v>1</v>
      </c>
      <c r="B117" s="49"/>
      <c r="C117" s="49"/>
      <c r="D117" s="163" t="s">
        <v>51</v>
      </c>
      <c r="E117" s="164"/>
      <c r="F117" s="165"/>
      <c r="G117" s="165"/>
      <c r="H117" s="164"/>
      <c r="I117" s="164"/>
      <c r="J117" s="164"/>
      <c r="K117" s="164"/>
      <c r="L117" s="164"/>
      <c r="M117" s="164"/>
      <c r="N117" s="164"/>
      <c r="O117" s="164"/>
      <c r="P117" s="166"/>
      <c r="Q117" s="167">
        <f ca="1">V111</f>
        <v>0.53892154097557088</v>
      </c>
      <c r="R117" s="157"/>
      <c r="S117" s="98"/>
      <c r="T117" s="98"/>
      <c r="U117" s="98"/>
      <c r="V117" s="98"/>
      <c r="W117" s="12"/>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row>
    <row r="118" spans="1:51" s="9" customFormat="1" ht="48.75" customHeight="1">
      <c r="A118" s="10">
        <v>1</v>
      </c>
      <c r="B118" s="49"/>
      <c r="C118" s="49"/>
      <c r="D118" s="154" t="s">
        <v>52</v>
      </c>
      <c r="E118" s="154"/>
      <c r="F118" s="161"/>
      <c r="G118" s="161"/>
      <c r="H118" s="154"/>
      <c r="I118" s="154"/>
      <c r="J118" s="154"/>
      <c r="K118" s="154"/>
      <c r="L118" s="154"/>
      <c r="M118" s="154"/>
      <c r="N118" s="154"/>
      <c r="O118" s="154"/>
      <c r="P118" s="154"/>
      <c r="Q118" s="154"/>
      <c r="R118" s="154"/>
      <c r="S118" s="154"/>
      <c r="T118" s="154"/>
      <c r="U118" s="154"/>
      <c r="V118" s="154"/>
      <c r="W118" s="154"/>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row>
    <row r="119" spans="1:51" s="9" customFormat="1" ht="51.75" customHeight="1">
      <c r="A119" s="10">
        <v>1</v>
      </c>
      <c r="B119" s="49"/>
      <c r="C119" s="49"/>
      <c r="D119" s="152" t="s">
        <v>53</v>
      </c>
      <c r="E119" s="152"/>
      <c r="F119" s="160"/>
      <c r="G119" s="160"/>
      <c r="H119" s="152"/>
      <c r="I119" s="152"/>
      <c r="J119" s="152"/>
      <c r="K119" s="152"/>
      <c r="L119" s="152"/>
      <c r="M119" s="152"/>
      <c r="N119" s="152"/>
      <c r="O119" s="152"/>
      <c r="P119" s="152"/>
      <c r="Q119" s="152"/>
      <c r="R119" s="152"/>
      <c r="S119" s="152"/>
      <c r="T119" s="152"/>
      <c r="U119" s="152"/>
      <c r="V119" s="152"/>
      <c r="W119" s="152"/>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row>
    <row r="120" spans="1:51" s="9" customFormat="1" ht="35.25" customHeight="1">
      <c r="A120" s="10">
        <v>1</v>
      </c>
      <c r="B120" s="49"/>
      <c r="C120" s="49"/>
      <c r="D120" s="152" t="s">
        <v>54</v>
      </c>
      <c r="E120" s="152"/>
      <c r="F120" s="162"/>
      <c r="G120" s="162"/>
      <c r="H120" s="152"/>
      <c r="I120" s="152"/>
      <c r="J120" s="152"/>
      <c r="K120" s="152"/>
      <c r="L120" s="152"/>
      <c r="M120" s="152"/>
      <c r="N120" s="152"/>
      <c r="O120" s="152"/>
      <c r="P120" s="152"/>
      <c r="Q120" s="152"/>
      <c r="R120" s="152"/>
      <c r="S120" s="152"/>
      <c r="T120" s="152"/>
      <c r="U120" s="152"/>
      <c r="V120" s="152"/>
      <c r="W120" s="152"/>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row>
    <row r="121" spans="1:51" s="9" customFormat="1" ht="31.5" customHeight="1">
      <c r="A121" s="10">
        <v>1</v>
      </c>
      <c r="B121" s="49"/>
      <c r="C121" s="49"/>
      <c r="D121" s="152" t="s">
        <v>64</v>
      </c>
      <c r="E121" s="152"/>
      <c r="F121" s="153"/>
      <c r="G121" s="153"/>
      <c r="H121" s="152"/>
      <c r="I121" s="152"/>
      <c r="J121" s="152"/>
      <c r="K121" s="152"/>
      <c r="L121" s="152"/>
      <c r="M121" s="152"/>
      <c r="N121" s="152"/>
      <c r="O121" s="152"/>
      <c r="P121" s="152"/>
      <c r="Q121" s="152"/>
      <c r="R121" s="152"/>
      <c r="S121" s="152"/>
      <c r="T121" s="152"/>
      <c r="U121" s="152"/>
      <c r="V121" s="152"/>
      <c r="W121" s="152"/>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row>
    <row r="122" spans="1:51" s="10" customFormat="1" ht="11.25" customHeight="1">
      <c r="A122" s="10">
        <v>1</v>
      </c>
      <c r="D122" s="66"/>
      <c r="E122" s="66"/>
      <c r="F122" s="100"/>
      <c r="G122" s="100"/>
      <c r="H122" s="66"/>
      <c r="I122" s="66"/>
      <c r="J122" s="66"/>
      <c r="K122" s="66"/>
      <c r="L122" s="66"/>
      <c r="M122" s="66"/>
      <c r="N122" s="66"/>
      <c r="O122" s="66"/>
      <c r="P122" s="66"/>
      <c r="Q122" s="66"/>
      <c r="R122" s="66"/>
      <c r="S122" s="66"/>
      <c r="T122" s="66"/>
      <c r="U122" s="66"/>
      <c r="V122" s="66"/>
      <c r="W122" s="50"/>
    </row>
    <row r="123" spans="1:51" s="10" customFormat="1" ht="12">
      <c r="E123" s="56"/>
    </row>
    <row r="124" spans="1:51" s="10" customFormat="1" ht="12">
      <c r="D124" s="99"/>
      <c r="E124" s="56"/>
    </row>
    <row r="125" spans="1:51" s="10" customFormat="1" ht="12">
      <c r="E125" s="56"/>
    </row>
    <row r="126" spans="1:51" s="10" customFormat="1" ht="12">
      <c r="E126" s="56"/>
    </row>
    <row r="127" spans="1:51" s="10" customFormat="1" ht="12">
      <c r="E127" s="56"/>
    </row>
    <row r="128" spans="1:51" s="10" customFormat="1" ht="12">
      <c r="E128" s="56"/>
    </row>
    <row r="129" spans="5:5" s="10" customFormat="1" ht="12">
      <c r="E129" s="56"/>
    </row>
    <row r="130" spans="5:5" s="10" customFormat="1" ht="12">
      <c r="E130" s="56"/>
    </row>
    <row r="131" spans="5:5" s="10" customFormat="1" ht="12">
      <c r="E131" s="56"/>
    </row>
    <row r="132" spans="5:5" s="10" customFormat="1" ht="12">
      <c r="E132" s="56"/>
    </row>
    <row r="133" spans="5:5" s="10" customFormat="1" ht="12">
      <c r="E133" s="56"/>
    </row>
    <row r="134" spans="5:5" s="10" customFormat="1" ht="12">
      <c r="E134" s="56"/>
    </row>
    <row r="135" spans="5:5" s="10" customFormat="1" ht="12">
      <c r="E135" s="56"/>
    </row>
    <row r="136" spans="5:5" s="10" customFormat="1" ht="12">
      <c r="E136" s="56"/>
    </row>
    <row r="137" spans="5:5" s="10" customFormat="1" ht="12">
      <c r="E137" s="56"/>
    </row>
    <row r="138" spans="5:5" s="10" customFormat="1" ht="12">
      <c r="E138" s="56"/>
    </row>
    <row r="139" spans="5:5" s="10" customFormat="1" ht="12">
      <c r="E139" s="56"/>
    </row>
    <row r="140" spans="5:5" s="10" customFormat="1" ht="12">
      <c r="E140" s="56"/>
    </row>
    <row r="141" spans="5:5" s="10" customFormat="1" ht="12">
      <c r="E141" s="56"/>
    </row>
    <row r="142" spans="5:5" s="10" customFormat="1" ht="12">
      <c r="E142" s="56"/>
    </row>
    <row r="143" spans="5:5" s="10" customFormat="1" ht="12">
      <c r="E143" s="56"/>
    </row>
    <row r="144" spans="5:5" s="10" customFormat="1" ht="12">
      <c r="E144" s="56"/>
    </row>
    <row r="145" spans="5:5" s="10" customFormat="1" ht="12">
      <c r="E145" s="56"/>
    </row>
    <row r="146" spans="5:5" s="10" customFormat="1" ht="12">
      <c r="E146" s="56"/>
    </row>
    <row r="147" spans="5:5" s="10" customFormat="1" ht="12">
      <c r="E147" s="56"/>
    </row>
    <row r="148" spans="5:5" s="10" customFormat="1" ht="12">
      <c r="E148" s="56"/>
    </row>
    <row r="149" spans="5:5" s="10" customFormat="1" ht="12">
      <c r="E149" s="56"/>
    </row>
    <row r="150" spans="5:5" s="10" customFormat="1" ht="12">
      <c r="E150" s="56"/>
    </row>
    <row r="151" spans="5:5" s="10" customFormat="1" ht="12">
      <c r="E151" s="56"/>
    </row>
    <row r="152" spans="5:5" s="10" customFormat="1" ht="12">
      <c r="E152" s="56"/>
    </row>
    <row r="153" spans="5:5" s="10" customFormat="1" ht="12">
      <c r="E153" s="56"/>
    </row>
    <row r="154" spans="5:5" s="10" customFormat="1" ht="12">
      <c r="E154" s="56"/>
    </row>
    <row r="155" spans="5:5" s="10" customFormat="1" ht="12">
      <c r="E155" s="56"/>
    </row>
    <row r="156" spans="5:5" s="10" customFormat="1" ht="12">
      <c r="E156" s="56"/>
    </row>
    <row r="157" spans="5:5" s="10" customFormat="1" ht="12">
      <c r="E157" s="56"/>
    </row>
    <row r="158" spans="5:5" s="10" customFormat="1" ht="12">
      <c r="E158" s="56"/>
    </row>
    <row r="159" spans="5:5" s="10" customFormat="1" ht="12">
      <c r="E159" s="56"/>
    </row>
    <row r="160" spans="5:5" s="10" customFormat="1" ht="12">
      <c r="E160" s="56"/>
    </row>
    <row r="161" spans="5:5" s="10" customFormat="1" ht="12">
      <c r="E161" s="56"/>
    </row>
    <row r="162" spans="5:5" s="10" customFormat="1" ht="12">
      <c r="E162" s="56"/>
    </row>
    <row r="163" spans="5:5" s="10" customFormat="1" ht="12">
      <c r="E163" s="56"/>
    </row>
    <row r="164" spans="5:5" s="10" customFormat="1" ht="12">
      <c r="E164" s="56"/>
    </row>
    <row r="165" spans="5:5" s="10" customFormat="1" ht="12">
      <c r="E165" s="56"/>
    </row>
    <row r="166" spans="5:5" s="6" customFormat="1">
      <c r="E166" s="55"/>
    </row>
    <row r="167" spans="5:5" s="6" customFormat="1">
      <c r="E167" s="55"/>
    </row>
    <row r="168" spans="5:5" s="6" customFormat="1">
      <c r="E168" s="55"/>
    </row>
  </sheetData>
  <sheetProtection password="ED54" sheet="1" formatCells="0" formatColumns="0" formatRows="0" insertColumns="0" insertRows="0" insertHyperlinks="0" deleteColumns="0" deleteRows="0" sort="0" autoFilter="0" pivotTables="0"/>
  <autoFilter ref="A37:A122">
    <filterColumn colId="0">
      <filters>
        <filter val="1"/>
      </filters>
    </filterColumn>
  </autoFilter>
  <mergeCells count="38">
    <mergeCell ref="D121:W121"/>
    <mergeCell ref="D114:P114"/>
    <mergeCell ref="D115:P115"/>
    <mergeCell ref="D116:P116"/>
    <mergeCell ref="Q114:R114"/>
    <mergeCell ref="Q115:R115"/>
    <mergeCell ref="Q116:R116"/>
    <mergeCell ref="D119:W119"/>
    <mergeCell ref="D118:W118"/>
    <mergeCell ref="D120:W120"/>
    <mergeCell ref="D117:P117"/>
    <mergeCell ref="Q117:R117"/>
    <mergeCell ref="D15:J15"/>
    <mergeCell ref="D7:E7"/>
    <mergeCell ref="D9:E9"/>
    <mergeCell ref="J32:U32"/>
    <mergeCell ref="M12:N12"/>
    <mergeCell ref="H32:H35"/>
    <mergeCell ref="D12:J12"/>
    <mergeCell ref="D11:J11"/>
    <mergeCell ref="D13:J13"/>
    <mergeCell ref="D14:J14"/>
    <mergeCell ref="L33:U33"/>
    <mergeCell ref="I32:I35"/>
    <mergeCell ref="P34:Q34"/>
    <mergeCell ref="J33:J35"/>
    <mergeCell ref="D16:J16"/>
    <mergeCell ref="L34:O34"/>
    <mergeCell ref="W32:W35"/>
    <mergeCell ref="D30:W30"/>
    <mergeCell ref="V27:W27"/>
    <mergeCell ref="V28:W28"/>
    <mergeCell ref="D17:I17"/>
    <mergeCell ref="K33:K35"/>
    <mergeCell ref="E32:E35"/>
    <mergeCell ref="V32:V35"/>
    <mergeCell ref="D32:D35"/>
    <mergeCell ref="R34:U34"/>
  </mergeCells>
  <phoneticPr fontId="0" type="noConversion"/>
  <conditionalFormatting sqref="V111">
    <cfRule type="expression" dxfId="3" priority="3" stopIfTrue="1">
      <formula>ISERR($V$111)</formula>
    </cfRule>
  </conditionalFormatting>
  <conditionalFormatting sqref="W111">
    <cfRule type="expression" dxfId="2" priority="4" stopIfTrue="1">
      <formula>ISERR($W$111)</formula>
    </cfRule>
  </conditionalFormatting>
  <conditionalFormatting sqref="J111:U111 I38 I39:K111">
    <cfRule type="expression" dxfId="1" priority="5" stopIfTrue="1">
      <formula>ISERR(I38)</formula>
    </cfRule>
  </conditionalFormatting>
  <conditionalFormatting sqref="L9:L10">
    <cfRule type="expression" dxfId="0" priority="7" stopIfTrue="1">
      <formula>$K$9&gt;#REF!*(1-#REF!)</formula>
    </cfRule>
  </conditionalFormatting>
  <pageMargins left="0.55118110236220474" right="0.31496062992125984" top="0.55118110236220474" bottom="0.35433070866141736" header="0.23622047244094491" footer="0.27559055118110237"/>
  <pageSetup paperSize="9" scale="58"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Моя кредитна картка</vt:lpstr>
      <vt:lpstr>'Моя кредитна картка'!Заголовки_для_печати</vt:lpstr>
      <vt:lpstr>'Моя кредитна картка'!Область_печати</vt:lpstr>
    </vt:vector>
  </TitlesOfParts>
  <Company>National Bank of Ukraine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400mbn19</dc:creator>
  <cp:lastModifiedBy>Шило Мария Викторовна</cp:lastModifiedBy>
  <cp:lastPrinted>2020-06-25T09:30:07Z</cp:lastPrinted>
  <dcterms:created xsi:type="dcterms:W3CDTF">2007-05-29T09:54:44Z</dcterms:created>
  <dcterms:modified xsi:type="dcterms:W3CDTF">2022-06-17T06:59:37Z</dcterms:modified>
</cp:coreProperties>
</file>